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johnlthompson/Library/Mobile Documents/com~apple~CloudDocs/Exepron/Exepron CCPM/Feature Development/1.5.0 features/AI/AI Generated BLOGS/"/>
    </mc:Choice>
  </mc:AlternateContent>
  <xr:revisionPtr revIDLastSave="0" documentId="13_ncr:1_{5B9E2421-EC62-834A-AF17-74E60BDEDB4B}" xr6:coauthVersionLast="47" xr6:coauthVersionMax="47" xr10:uidLastSave="{00000000-0000-0000-0000-000000000000}"/>
  <bookViews>
    <workbookView xWindow="31120" yWindow="660" windowWidth="36200" windowHeight="18940" tabRatio="500" xr2:uid="{00000000-000D-0000-FFFF-FFFF00000000}"/>
  </bookViews>
  <sheets>
    <sheet name="Cost of Delay Model" sheetId="1" r:id="rId1"/>
    <sheet name="Pipeline Cascade"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3" i="2" l="1"/>
  <c r="E23" i="2"/>
  <c r="E25" i="2" s="1"/>
  <c r="G19" i="2"/>
  <c r="G20" i="2" s="1"/>
  <c r="F19" i="2"/>
  <c r="F20" i="2" s="1"/>
  <c r="C19" i="2"/>
  <c r="C18" i="2"/>
  <c r="D19" i="2" s="1"/>
  <c r="D20" i="2" s="1"/>
  <c r="H14" i="2"/>
  <c r="H25" i="2" s="1"/>
  <c r="G14" i="2"/>
  <c r="F14" i="2"/>
  <c r="E14" i="2"/>
  <c r="D14" i="2"/>
  <c r="C14" i="2"/>
  <c r="H13" i="2"/>
  <c r="H23" i="2" s="1"/>
  <c r="G13" i="2"/>
  <c r="G23" i="2" s="1"/>
  <c r="F13" i="2"/>
  <c r="F23" i="2" s="1"/>
  <c r="E13" i="2"/>
  <c r="D13" i="2"/>
  <c r="D23" i="2" s="1"/>
  <c r="C13" i="2"/>
  <c r="C23" i="2" s="1"/>
  <c r="C49" i="1"/>
  <c r="J47" i="1"/>
  <c r="C38" i="1"/>
  <c r="C35" i="1"/>
  <c r="J33" i="1"/>
  <c r="I33" i="1"/>
  <c r="H33" i="1"/>
  <c r="G33" i="1"/>
  <c r="F33" i="1"/>
  <c r="E33" i="1"/>
  <c r="D33" i="1"/>
  <c r="C33" i="1"/>
  <c r="C26" i="1"/>
  <c r="J25" i="1"/>
  <c r="J26" i="1" s="1"/>
  <c r="I25" i="1"/>
  <c r="I47" i="1" s="1"/>
  <c r="H25" i="1"/>
  <c r="H47" i="1" s="1"/>
  <c r="G25" i="1"/>
  <c r="G47" i="1" s="1"/>
  <c r="F25" i="1"/>
  <c r="F26" i="1" s="1"/>
  <c r="E25" i="1"/>
  <c r="D25" i="1"/>
  <c r="C21" i="1"/>
  <c r="C15" i="1"/>
  <c r="C11" i="1"/>
  <c r="D27" i="1" l="1"/>
  <c r="E27" i="1"/>
  <c r="G26" i="1"/>
  <c r="I26" i="1"/>
  <c r="D47" i="1"/>
  <c r="H27" i="1"/>
  <c r="J27" i="1"/>
  <c r="D26" i="1"/>
  <c r="E47" i="1"/>
  <c r="E26" i="1"/>
  <c r="F47" i="1"/>
  <c r="F27" i="1"/>
  <c r="G27" i="1"/>
  <c r="C26" i="2"/>
  <c r="C25" i="2"/>
  <c r="C24" i="2"/>
  <c r="F24" i="2"/>
  <c r="F26" i="2"/>
  <c r="F25" i="2"/>
  <c r="D26" i="2"/>
  <c r="D25" i="2"/>
  <c r="D24" i="2"/>
  <c r="G26" i="2"/>
  <c r="G25" i="2"/>
  <c r="G24" i="2"/>
  <c r="H24" i="2"/>
  <c r="H26" i="2"/>
  <c r="D18" i="2"/>
  <c r="I27" i="1"/>
  <c r="E24" i="2"/>
  <c r="E19" i="2"/>
  <c r="E20" i="2" s="1"/>
  <c r="E26" i="2"/>
  <c r="H19" i="2"/>
  <c r="H20" i="2" s="1"/>
  <c r="G18" i="2"/>
  <c r="E18" i="2"/>
  <c r="C20" i="2"/>
  <c r="C16" i="1"/>
  <c r="F18" i="2"/>
  <c r="H26" i="1"/>
  <c r="H18" i="2"/>
  <c r="I17" i="1" l="1"/>
  <c r="C29" i="1"/>
  <c r="C39" i="1"/>
  <c r="C40" i="1" s="1"/>
  <c r="D17" i="1"/>
  <c r="G17" i="1"/>
  <c r="F17" i="1"/>
  <c r="E17" i="1"/>
  <c r="C17" i="1"/>
  <c r="J17" i="1"/>
  <c r="H17" i="1"/>
  <c r="C29" i="2"/>
  <c r="C31" i="2"/>
  <c r="C30" i="2"/>
  <c r="C34" i="2" s="1"/>
  <c r="H54" i="1" l="1"/>
  <c r="J54" i="1"/>
  <c r="F54" i="1"/>
  <c r="E54" i="1"/>
  <c r="D54" i="1"/>
  <c r="C54" i="1"/>
  <c r="I54" i="1"/>
  <c r="G54" i="1"/>
  <c r="C18" i="1"/>
  <c r="C32" i="2"/>
  <c r="C55" i="1"/>
  <c r="C50" i="1"/>
  <c r="C41" i="1"/>
  <c r="C51" i="1" s="1"/>
  <c r="F22" i="1" l="1"/>
  <c r="G32" i="1"/>
  <c r="E32" i="1"/>
  <c r="I34" i="1"/>
  <c r="D32" i="1"/>
  <c r="I22" i="1"/>
  <c r="H34" i="1"/>
  <c r="C32" i="1"/>
  <c r="J34" i="1"/>
  <c r="J22" i="1"/>
  <c r="D34" i="1"/>
  <c r="I32" i="1"/>
  <c r="D22" i="1"/>
  <c r="C22" i="1"/>
  <c r="G34" i="1"/>
  <c r="G22" i="1"/>
  <c r="F34" i="1"/>
  <c r="E34" i="1"/>
  <c r="J32" i="1"/>
  <c r="E22" i="1"/>
  <c r="H32" i="1"/>
  <c r="F32" i="1"/>
  <c r="H22" i="1"/>
  <c r="H28" i="1"/>
  <c r="E28" i="1"/>
  <c r="J28" i="1"/>
  <c r="F28" i="1"/>
  <c r="G28" i="1"/>
  <c r="D28" i="1"/>
  <c r="I28" i="1"/>
  <c r="D48" i="1" l="1"/>
  <c r="D29" i="1"/>
  <c r="D39" i="1" s="1"/>
  <c r="F44" i="1"/>
  <c r="F35" i="1"/>
  <c r="F36" i="1"/>
  <c r="I48" i="1"/>
  <c r="I29" i="1"/>
  <c r="I39" i="1" s="1"/>
  <c r="E36" i="1"/>
  <c r="E44" i="1"/>
  <c r="E35" i="1"/>
  <c r="F48" i="1"/>
  <c r="F29" i="1"/>
  <c r="F39" i="1" s="1"/>
  <c r="J48" i="1"/>
  <c r="J29" i="1"/>
  <c r="J39" i="1" s="1"/>
  <c r="H48" i="1"/>
  <c r="H29" i="1"/>
  <c r="H39" i="1" s="1"/>
  <c r="J36" i="1"/>
  <c r="J44" i="1"/>
  <c r="J35" i="1"/>
  <c r="G48" i="1"/>
  <c r="G29" i="1"/>
  <c r="G39" i="1" s="1"/>
  <c r="H44" i="1"/>
  <c r="H35" i="1"/>
  <c r="H36" i="1"/>
  <c r="E48" i="1"/>
  <c r="E29" i="1"/>
  <c r="E39" i="1" s="1"/>
  <c r="G44" i="1"/>
  <c r="G35" i="1"/>
  <c r="G36" i="1"/>
  <c r="I36" i="1"/>
  <c r="I44" i="1"/>
  <c r="I35" i="1"/>
  <c r="D35" i="1"/>
  <c r="D36" i="1"/>
  <c r="D44" i="1"/>
  <c r="E49" i="1" l="1"/>
  <c r="E38" i="1"/>
  <c r="E40" i="1" s="1"/>
  <c r="H49" i="1"/>
  <c r="H38" i="1"/>
  <c r="H40" i="1" s="1"/>
  <c r="J49" i="1"/>
  <c r="J38" i="1"/>
  <c r="J40" i="1" s="1"/>
  <c r="G38" i="1"/>
  <c r="G40" i="1" s="1"/>
  <c r="G49" i="1"/>
  <c r="F49" i="1"/>
  <c r="F38" i="1"/>
  <c r="F40" i="1" s="1"/>
  <c r="D49" i="1"/>
  <c r="D38" i="1"/>
  <c r="D40" i="1" s="1"/>
  <c r="I49" i="1"/>
  <c r="I38" i="1"/>
  <c r="I40" i="1" s="1"/>
  <c r="J55" i="1" l="1"/>
  <c r="J50" i="1"/>
  <c r="J42" i="1"/>
  <c r="J52" i="1" s="1"/>
  <c r="J41" i="1"/>
  <c r="J51" i="1" s="1"/>
  <c r="J43" i="1"/>
  <c r="J53" i="1" s="1"/>
  <c r="F50" i="1"/>
  <c r="F41" i="1"/>
  <c r="F51" i="1" s="1"/>
  <c r="F55" i="1"/>
  <c r="F42" i="1"/>
  <c r="F52" i="1" s="1"/>
  <c r="F43" i="1"/>
  <c r="F53" i="1" s="1"/>
  <c r="G50" i="1"/>
  <c r="G41" i="1"/>
  <c r="G51" i="1" s="1"/>
  <c r="G55" i="1"/>
  <c r="G43" i="1"/>
  <c r="G53" i="1" s="1"/>
  <c r="G42" i="1"/>
  <c r="G52" i="1" s="1"/>
  <c r="I41" i="1"/>
  <c r="I51" i="1" s="1"/>
  <c r="I55" i="1"/>
  <c r="I43" i="1"/>
  <c r="I53" i="1" s="1"/>
  <c r="I42" i="1"/>
  <c r="I52" i="1" s="1"/>
  <c r="I50" i="1"/>
  <c r="H50" i="1"/>
  <c r="H41" i="1"/>
  <c r="H51" i="1" s="1"/>
  <c r="H42" i="1"/>
  <c r="H52" i="1" s="1"/>
  <c r="H43" i="1"/>
  <c r="H53" i="1" s="1"/>
  <c r="H55" i="1"/>
  <c r="D43" i="1"/>
  <c r="D53" i="1" s="1"/>
  <c r="D55" i="1"/>
  <c r="D42" i="1"/>
  <c r="D52" i="1" s="1"/>
  <c r="D50" i="1"/>
  <c r="D41" i="1"/>
  <c r="D51" i="1" s="1"/>
  <c r="E43" i="1"/>
  <c r="E53" i="1" s="1"/>
  <c r="E55" i="1"/>
  <c r="E42" i="1"/>
  <c r="E52" i="1" s="1"/>
  <c r="E50" i="1"/>
  <c r="E41" i="1"/>
  <c r="E51" i="1" s="1"/>
</calcChain>
</file>

<file path=xl/sharedStrings.xml><?xml version="1.0" encoding="utf-8"?>
<sst xmlns="http://schemas.openxmlformats.org/spreadsheetml/2006/main" count="162" uniqueCount="153">
  <si>
    <t>COST OF DELAY  ·  Project CM Erosion &amp; Fixed Cost Compounding Model</t>
  </si>
  <si>
    <t>A small delay in project delivery creates a disproportionately large slippage in ROI — because daily fixed costs compound upward while Contribution Margin erodes downward.</t>
  </si>
  <si>
    <t>Category / Line Item</t>
  </si>
  <si>
    <t>Trailing 12M
Baseline</t>
  </si>
  <si>
    <t>10% Delay</t>
  </si>
  <si>
    <t>15% Delay</t>
  </si>
  <si>
    <t>20% Delay</t>
  </si>
  <si>
    <t>25% Delay</t>
  </si>
  <si>
    <t>30% Delay</t>
  </si>
  <si>
    <t>40% Delay</t>
  </si>
  <si>
    <t>50% Delay</t>
  </si>
  <si>
    <t>Notes / Formula Logic</t>
  </si>
  <si>
    <t xml:space="preserve">  ① PROJECT INPUTS — Edit Blue Cells</t>
  </si>
  <si>
    <t>Total Project Revenue ($)</t>
  </si>
  <si>
    <t>Total contracted or expected project revenue</t>
  </si>
  <si>
    <t>Total Project Contribution Margin ($)</t>
  </si>
  <si>
    <t>Planned CM at project completion</t>
  </si>
  <si>
    <t>CM % of Revenue</t>
  </si>
  <si>
    <t>Calculated: CM ÷ Revenue</t>
  </si>
  <si>
    <t>Planned Project Duration (days)</t>
  </si>
  <si>
    <t>Total planned working days to completion</t>
  </si>
  <si>
    <t>Daily Labor Cost ($)</t>
  </si>
  <si>
    <t>Total daily labour cost across project team</t>
  </si>
  <si>
    <t>Daily Fixed &amp; Overhead Cost ($)</t>
  </si>
  <si>
    <t>Facilities, equipment, overhead per day</t>
  </si>
  <si>
    <t>Total Daily Fixed Cost ($)</t>
  </si>
  <si>
    <t>Labor + Fixed &amp; Overhead per day</t>
  </si>
  <si>
    <t>Total Planned Fixed Cost ($)</t>
  </si>
  <si>
    <t>Total Daily Cost × Planned Duration</t>
  </si>
  <si>
    <t>Project Duration ROI  (Net Profit ÷ Total Fixed Cost)</t>
  </si>
  <si>
    <t>Calculated reference only: Planned Net Profit ÷ Total Fixed Cost for the project period. NOT used directly as a compounding rate.</t>
  </si>
  <si>
    <t>Daily Compounding Rate  (Project Duration ROI ÷ Planned Days)</t>
  </si>
  <si>
    <t>Project Duration ROI ÷ Planned Days. The true daily opportunity cost: each delayed day foregoes this rate on every downstream project capitalised by this project's ROI.</t>
  </si>
  <si>
    <t xml:space="preserve">  ① PIPELINE CONTEXT — Cascading Delay Multiplier</t>
  </si>
  <si>
    <t>Avg ROI per Downstream Project (project-period %)</t>
  </si>
  <si>
    <t>ROI of each downstream project as a % of its fixed cost base. Defaults to same as this project — adjust if pipeline projects differ.</t>
  </si>
  <si>
    <t>Pipeline Cascade Multiplier  (1 + Downstream Projects)</t>
  </si>
  <si>
    <t>Every day of delay on this project costs 1× its own ROI PLUS 1× for each downstream project pushed. A 5-project pipeline = 6× standalone cost.</t>
  </si>
  <si>
    <t>True Daily Cost of Delay  (Pipeline-Adjusted, ROI Rate)</t>
  </si>
  <si>
    <t>Daily ROI Rate × Pipeline Multiplier × Total Fixed Cost. The true daily $ cost of delay accounting for all downstream projects capitalised by this project's ROI.</t>
  </si>
  <si>
    <t xml:space="preserve">  ② DELAY CALCULATION  —  Days &amp; Cost Overrun</t>
  </si>
  <si>
    <t>Delay %</t>
  </si>
  <si>
    <t>Planned</t>
  </si>
  <si>
    <t>Planned=0%</t>
  </si>
  <si>
    <t>Additional Days Delayed</t>
  </si>
  <si>
    <t>Duration × Delay %</t>
  </si>
  <si>
    <t>Total Project Duration (days)</t>
  </si>
  <si>
    <t>Total Overrun Days Cost ($)</t>
  </si>
  <si>
    <t>Compounded Overrun Cost ($)</t>
  </si>
  <si>
    <t>Overrun cost × (1 + project daily ROI rate + expediting premium)^delay days. Reflects both the opportunity cost of capital and the escalating cost of recovery.</t>
  </si>
  <si>
    <t>Total Fixed Cost at Completion ($)</t>
  </si>
  <si>
    <t>Planned fixed + Compounded overrun</t>
  </si>
  <si>
    <t xml:space="preserve">  ③ CONTRIBUTION MARGIN EROSION  —  Compounding Negative Effect at Project ROI Rate</t>
  </si>
  <si>
    <t>CM Erosion Rate  (annual %)  — User Defined</t>
  </si>
  <si>
    <t>Enter the annual rate at which CM erodes per day of delay (e.g. 8%). This reflects customer penalties, price concessions, competitor capture, or contract cancellation risk — NOT the cost of capital.</t>
  </si>
  <si>
    <t>Daily CM Erosion Rate  (CM Erosion Rate ÷ 365)</t>
  </si>
  <si>
    <t>Daily CM erosion rate = Project Duration ROI ÷ Planned Days. CM erodes at the project's own daily ROI rate — the true opportunity cost of capital deferred in the pipeline.</t>
  </si>
  <si>
    <t>CM at Planned Completion ($)</t>
  </si>
  <si>
    <t>CM Lost During Delay Period ($)</t>
  </si>
  <si>
    <t>CM Lost = Planned CM × (1 − (1 − project daily ROI rate)^delay days). CM erodes at the project ROI rate — the true opportunity cost of delayed delivery.</t>
  </si>
  <si>
    <t>Residual CM After Delay ($)</t>
  </si>
  <si>
    <t>CM at completion less erosion during delay</t>
  </si>
  <si>
    <t>CM Erosion % of Planned CM</t>
  </si>
  <si>
    <t>CM Lost ÷ Planned CM. % of planned CM permanently lost during the delay period.</t>
  </si>
  <si>
    <t xml:space="preserve">  ④ NET PROJECT OUTCOME  —  Residual CM vs Total Cost at Completion</t>
  </si>
  <si>
    <t>Residual CM ($)</t>
  </si>
  <si>
    <t>Residual CM from Section ③ row 37 — CM after erosion during delay period.</t>
  </si>
  <si>
    <t>Total Fixed Cost at Completion from Section ② — planned fixed + compounded overrun.</t>
  </si>
  <si>
    <t>Net Project Result ($)</t>
  </si>
  <si>
    <t>Residual CM minus Total Fixed Cost at Completion.</t>
  </si>
  <si>
    <t>Net Margin %</t>
  </si>
  <si>
    <t>Net Result ÷ Total Project Revenue.</t>
  </si>
  <si>
    <t>Δ Net Result vs Plan ($)</t>
  </si>
  <si>
    <t>Scenario Net Result minus Planned Net Result.</t>
  </si>
  <si>
    <t>Δ Net Result vs Plan (%)</t>
  </si>
  <si>
    <t>Percentage change in Net Result vs planned.</t>
  </si>
  <si>
    <t>ROI Breakeven Delay (days)</t>
  </si>
  <si>
    <t>—</t>
  </si>
  <si>
    <t>Additional days needed beyond the delay period before the project recoups its planned fixed costs.</t>
  </si>
  <si>
    <t xml:space="preserve">  ⑤ EXECUTIVE SUMMARY  —  Delay Impact at a Glance</t>
  </si>
  <si>
    <t>Metric</t>
  </si>
  <si>
    <t>10%</t>
  </si>
  <si>
    <t>15%</t>
  </si>
  <si>
    <t>20%</t>
  </si>
  <si>
    <t>25%</t>
  </si>
  <si>
    <t>30%</t>
  </si>
  <si>
    <t>40%</t>
  </si>
  <si>
    <t>50%</t>
  </si>
  <si>
    <t>Additional Days Lost</t>
  </si>
  <si>
    <t>Δ vs Plan ($)</t>
  </si>
  <si>
    <t>Δ vs Plan (%)</t>
  </si>
  <si>
    <t>% change in Net Result vs planned.</t>
  </si>
  <si>
    <t>Project Duration ROI — Expected (%)</t>
  </si>
  <si>
    <t>Planned Net Profit ÷ Total Fixed Cost. The benchmark ROI for this project period.</t>
  </si>
  <si>
    <t>Actual ROI — Achieved (%)</t>
  </si>
  <si>
    <t>Annualised Actual ROI = (Net Result ÷ Total Fixed Cost) × (365 ÷ Planned Days).</t>
  </si>
  <si>
    <t>Model Logic:  Project Duration ROI = Planned Net Profit ÷ Total Fixed Cost.  Daily Rate = Project Duration ROI ÷ Planned Days.  Overrun Cost compounded at daily rate over delayed days.  CM Erosion = Planned CM × (1 − (1 − daily rate)^delay days).  Blue cells = inputs.  All other cells are protected.</t>
  </si>
  <si>
    <t>PIPELINE CASCADE  ·  Domino Effect of Project Delay Across Resource-Shared Portfolio</t>
  </si>
  <si>
    <t>A delay in any project automatically pushes every downstream project that shares the same resources. The true cost of delay is not the standalone project ROI — it is the sum of ROI foregone across the entire pipeline.</t>
  </si>
  <si>
    <t xml:space="preserve">  ① PIPELINE INPUTS — Projects sharing same resource pool</t>
  </si>
  <si>
    <t>Input / Metric</t>
  </si>
  <si>
    <t>Project 1
(Trigger)</t>
  </si>
  <si>
    <t>Project 2</t>
  </si>
  <si>
    <t>Project 3</t>
  </si>
  <si>
    <t>Project 4</t>
  </si>
  <si>
    <t>Project 5</t>
  </si>
  <si>
    <t>Project 6</t>
  </si>
  <si>
    <t>Notes</t>
  </si>
  <si>
    <t>Project Revenue ($)</t>
  </si>
  <si>
    <t>Enter planned revenue for each project</t>
  </si>
  <si>
    <t>Project CM ($)</t>
  </si>
  <si>
    <t>Enter planned Contribution Margin</t>
  </si>
  <si>
    <t>Planned Duration (days)</t>
  </si>
  <si>
    <t>Enter planned working days per project</t>
  </si>
  <si>
    <t>Daily Fixed Cost ($)</t>
  </si>
  <si>
    <t>Total daily labour + overhead per project</t>
  </si>
  <si>
    <t>Planned Start Day</t>
  </si>
  <si>
    <t>Staggered start: each project begins 50 days after the start of the previous project (resource overlap model).</t>
  </si>
  <si>
    <t>Project Duration ROI (%)</t>
  </si>
  <si>
    <t>(CM − Total Fixed Cost) ÷ Total Fixed Cost. Each project's standalone ROI.</t>
  </si>
  <si>
    <t>Net Profit ($)</t>
  </si>
  <si>
    <t>CM less Total Fixed Cost for project period.</t>
  </si>
  <si>
    <t xml:space="preserve">  ② DELAY SCENARIO — Enter trigger project delay</t>
  </si>
  <si>
    <t>Delay % on Project 1 (Trigger)</t>
  </si>
  <si>
    <t>Enter the delay % on the first (trigger) project. All downstream projects are pushed automatically.</t>
  </si>
  <si>
    <t>Project 1 delay cascades identically to all downstream projects — they cannot start until resources are released.</t>
  </si>
  <si>
    <t>Actual Start Day (with delay)</t>
  </si>
  <si>
    <t>Project 1 starts on plan (delay occurs during execution). Projects 2–6: planned staggered start + cascade delay days pushed by Project 1's overrun.</t>
  </si>
  <si>
    <t>Actual End Day (with delay)</t>
  </si>
  <si>
    <t>Project 1: Actual start + duration + delay days. Projects 2–6: Actual (late) start + normal duration.</t>
  </si>
  <si>
    <t xml:space="preserve">  ③ COST OF CASCADE — ROI foregone across all projects</t>
  </si>
  <si>
    <t>Daily ROI Rate (Project ROI ÷ Duration)</t>
  </si>
  <si>
    <t>Project Duration ROI ÷ Planned Days. The per-day value destroyed when this project is pushed.</t>
  </si>
  <si>
    <t>ROI Foregone — This Project (%)</t>
  </si>
  <si>
    <t>Daily ROI × delay days. % of project-period ROI permanently lost to this delay.</t>
  </si>
  <si>
    <t>Net Profit Lost — This Project ($)</t>
  </si>
  <si>
    <t>Net Profit × ((1 + daily ROI rate)^delay days − 1). Compounded at each project's own daily ROI rate — the alternative use of capital in this pipeline.</t>
  </si>
  <si>
    <t>CM Lost — This Project ($)</t>
  </si>
  <si>
    <t>CM × (1−(1−daily ROI rate)^delay days). Compounded CM erosion during the pushed delay period.</t>
  </si>
  <si>
    <t xml:space="preserve">  ④ PORTFOLIO TOTAL — True cost of one delay across entire pipeline</t>
  </si>
  <si>
    <t>Total Net Profit Lost Across Pipeline ($)</t>
  </si>
  <si>
    <t>Sum of net profit destroyed across all 6 projects due to the cascade.</t>
  </si>
  <si>
    <t>Total CM Lost Across Pipeline ($)</t>
  </si>
  <si>
    <t>Sum of CM erosion across all projects during the pushed delay period.</t>
  </si>
  <si>
    <t>Standalone Cost of Delay — Project 1 Only ($)</t>
  </si>
  <si>
    <t>What a standalone model would calculate — ignoring pipeline cascade. This is what most managers see.</t>
  </si>
  <si>
    <t>Pipeline Multiplier  (True Cost ÷ Standalone Cost)</t>
  </si>
  <si>
    <t>How many times more costly the true pipeline delay is vs the standalone view. The management blind spot multiplier.</t>
  </si>
  <si>
    <t>Total Pipeline Revenue at Risk ($)</t>
  </si>
  <si>
    <t>Total revenue across all pipeline projects. Context for the scale of risk.</t>
  </si>
  <si>
    <t>CM Lost as % of Total Pipeline Revenue</t>
  </si>
  <si>
    <t>Portfolio-level CM erosion rate. Puts the delay's true impact in revenue context.</t>
  </si>
  <si>
    <t>Key Insight:  Each project's overrun and CM erosion is compounded at its own Project Duration ROI rate — because the capital funding each subsequent project is underwritten by the prior project's ROI. A delay does not merely defer profit; it destroys value at the exact same rate the project would have created it, cascading across every project in the pipeline. The standalone model sees only one project. The pipeline model reveals the true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</si>
</sst>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0.0000%\);\-"/>
    <numFmt numFmtId="167" formatCode="0.0\x"/>
    <numFmt numFmtId="168" formatCode="\+#,##0;\(#,##0\);\-"/>
    <numFmt numFmtId="169" formatCode="\+0.0%;\(0.0%\);\-"/>
    <numFmt numFmtId="170" formatCode="0.000%;\(0.000%\);\-"/>
  </numFmts>
  <fonts count="19" x14ac:knownFonts="1">
    <font>
      <sz val="11"/>
      <color theme="1"/>
      <name val="Calibri"/>
      <family val="2"/>
      <charset val="1"/>
    </font>
    <font>
      <b/>
      <sz val="14"/>
      <color rgb="FFFFFFFF"/>
      <name val="Arial"/>
      <family val="2"/>
    </font>
    <font>
      <sz val="12"/>
      <color theme="1"/>
      <name val="Calibri"/>
      <family val="2"/>
      <charset val="1"/>
    </font>
    <font>
      <b/>
      <sz val="12"/>
      <color rgb="FFFFFFFF"/>
      <name val="Arial"/>
      <family val="2"/>
    </font>
    <font>
      <sz val="12"/>
      <color rgb="FF000000"/>
      <name val="Arial"/>
      <family val="2"/>
    </font>
    <font>
      <sz val="12"/>
      <color rgb="FF0000FF"/>
      <name val="Arial"/>
      <family val="2"/>
    </font>
    <font>
      <i/>
      <sz val="12"/>
      <color rgb="FF595959"/>
      <name val="Arial"/>
      <family val="2"/>
    </font>
    <font>
      <b/>
      <sz val="12"/>
      <color rgb="FF000000"/>
      <name val="Arial"/>
      <family val="2"/>
    </font>
    <font>
      <b/>
      <sz val="12"/>
      <color rgb="FF922B21"/>
      <name val="Arial"/>
      <family val="2"/>
    </font>
    <font>
      <sz val="14"/>
      <color theme="1"/>
      <name val="Calibri"/>
      <family val="2"/>
      <charset val="1"/>
    </font>
    <font>
      <sz val="14"/>
      <color rgb="FF000000"/>
      <name val="Arial"/>
      <family val="2"/>
    </font>
    <font>
      <sz val="14"/>
      <color rgb="FF0000FF"/>
      <name val="Arial"/>
      <family val="2"/>
    </font>
    <font>
      <i/>
      <sz val="14"/>
      <color rgb="FF595959"/>
      <name val="Arial"/>
      <family val="2"/>
    </font>
    <font>
      <b/>
      <sz val="14"/>
      <color rgb="FF000000"/>
      <name val="Arial"/>
      <family val="2"/>
    </font>
    <font>
      <b/>
      <sz val="14"/>
      <color rgb="FF922B21"/>
      <name val="Arial"/>
      <family val="2"/>
    </font>
    <font>
      <sz val="16"/>
      <color theme="1"/>
      <name val="Calibri"/>
      <family val="2"/>
      <charset val="1"/>
    </font>
    <font>
      <b/>
      <sz val="16"/>
      <color rgb="FFFFFFFF"/>
      <name val="Arial"/>
      <family val="2"/>
    </font>
    <font>
      <i/>
      <sz val="16"/>
      <color rgb="FF2E5090"/>
      <name val="Arial"/>
      <family val="2"/>
    </font>
    <font>
      <b/>
      <sz val="12"/>
      <name val="Arial"/>
      <family val="2"/>
    </font>
  </fonts>
  <fills count="15">
    <fill>
      <patternFill patternType="none"/>
    </fill>
    <fill>
      <patternFill patternType="gray125"/>
    </fill>
    <fill>
      <patternFill patternType="solid">
        <fgColor rgb="FF1F3864"/>
        <bgColor rgb="FF1A5276"/>
      </patternFill>
    </fill>
    <fill>
      <patternFill patternType="solid">
        <fgColor rgb="FFDDEEFF"/>
        <bgColor rgb="FFE2EFDA"/>
      </patternFill>
    </fill>
    <fill>
      <patternFill patternType="solid">
        <fgColor rgb="FFFFFFFF"/>
        <bgColor rgb="FFF2F2F2"/>
      </patternFill>
    </fill>
    <fill>
      <patternFill patternType="solid">
        <fgColor rgb="FF2E5090"/>
        <bgColor rgb="FF1A5276"/>
      </patternFill>
    </fill>
    <fill>
      <patternFill patternType="solid">
        <fgColor rgb="FF1A5276"/>
        <bgColor rgb="FF2E5090"/>
      </patternFill>
    </fill>
    <fill>
      <patternFill patternType="solid">
        <fgColor rgb="FF145A32"/>
        <bgColor rgb="FF1A5276"/>
      </patternFill>
    </fill>
    <fill>
      <patternFill patternType="solid">
        <fgColor rgb="FF784212"/>
        <bgColor rgb="FF922B21"/>
      </patternFill>
    </fill>
    <fill>
      <patternFill patternType="solid">
        <fgColor rgb="FF6E2F8A"/>
        <bgColor rgb="FF800080"/>
      </patternFill>
    </fill>
    <fill>
      <patternFill patternType="solid">
        <fgColor rgb="FF922B21"/>
        <bgColor rgb="FF784212"/>
      </patternFill>
    </fill>
    <fill>
      <patternFill patternType="solid">
        <fgColor rgb="FFF2F2F2"/>
        <bgColor rgb="FFE2EFDA"/>
      </patternFill>
    </fill>
    <fill>
      <patternFill patternType="solid">
        <fgColor rgb="FFE2EFDA"/>
        <bgColor rgb="FFF2F2F2"/>
      </patternFill>
    </fill>
    <fill>
      <patternFill patternType="solid">
        <fgColor rgb="FFFFF2CC"/>
        <bgColor rgb="FFF2F2F2"/>
      </patternFill>
    </fill>
    <fill>
      <patternFill patternType="solid">
        <fgColor rgb="FFFADBD8"/>
        <bgColor rgb="FFFFF2CC"/>
      </patternFill>
    </fill>
  </fills>
  <borders count="5">
    <border>
      <left/>
      <right/>
      <top/>
      <bottom/>
      <diagonal/>
    </border>
    <border>
      <left style="thin">
        <color rgb="FFB8B8B8"/>
      </left>
      <right/>
      <top style="thin">
        <color rgb="FFB8B8B8"/>
      </top>
      <bottom style="thin">
        <color rgb="FFB8B8B8"/>
      </bottom>
      <diagonal/>
    </border>
    <border>
      <left style="thin">
        <color rgb="FFB8B8B8"/>
      </left>
      <right style="thin">
        <color rgb="FFB8B8B8"/>
      </right>
      <top style="thin">
        <color rgb="FFB8B8B8"/>
      </top>
      <bottom style="thin">
        <color rgb="FFB8B8B8"/>
      </bottom>
      <diagonal/>
    </border>
    <border>
      <left/>
      <right/>
      <top style="thin">
        <color rgb="FFB8B8B8"/>
      </top>
      <bottom style="thin">
        <color rgb="FFB8B8B8"/>
      </bottom>
      <diagonal/>
    </border>
    <border>
      <left/>
      <right style="thin">
        <color rgb="FFB8B8B8"/>
      </right>
      <top style="thin">
        <color rgb="FFB8B8B8"/>
      </top>
      <bottom style="thin">
        <color rgb="FFB8B8B8"/>
      </bottom>
      <diagonal/>
    </border>
  </borders>
  <cellStyleXfs count="1">
    <xf numFmtId="0" fontId="0" fillId="0" borderId="0"/>
  </cellStyleXfs>
  <cellXfs count="99">
    <xf numFmtId="0" fontId="0" fillId="0" borderId="0" xfId="0"/>
    <xf numFmtId="0" fontId="2" fillId="0" borderId="0" xfId="0" applyFont="1"/>
    <xf numFmtId="0" fontId="4" fillId="4"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4" fillId="4" borderId="2" xfId="0" applyFont="1" applyFill="1" applyBorder="1" applyAlignment="1">
      <alignment horizontal="left" vertical="center" wrapText="1"/>
    </xf>
    <xf numFmtId="164" fontId="5" fillId="4" borderId="2" xfId="0" applyNumberFormat="1" applyFont="1" applyFill="1" applyBorder="1" applyAlignment="1" applyProtection="1">
      <alignment horizontal="center" vertical="center"/>
      <protection locked="0"/>
    </xf>
    <xf numFmtId="0" fontId="6" fillId="3" borderId="2" xfId="0" applyFont="1" applyFill="1" applyBorder="1" applyAlignment="1">
      <alignment horizontal="left" vertical="center" wrapText="1"/>
    </xf>
    <xf numFmtId="0" fontId="4" fillId="11" borderId="2" xfId="0" applyFont="1" applyFill="1" applyBorder="1" applyAlignment="1">
      <alignment horizontal="left" vertical="center" wrapText="1"/>
    </xf>
    <xf numFmtId="164" fontId="5" fillId="11" borderId="2" xfId="0" applyNumberFormat="1" applyFont="1" applyFill="1" applyBorder="1" applyAlignment="1" applyProtection="1">
      <alignment horizontal="center" vertical="center"/>
      <protection locked="0"/>
    </xf>
    <xf numFmtId="164" fontId="4" fillId="4" borderId="2" xfId="0" applyNumberFormat="1" applyFont="1" applyFill="1" applyBorder="1" applyAlignment="1">
      <alignment horizontal="center" vertical="center"/>
    </xf>
    <xf numFmtId="164" fontId="4" fillId="11" borderId="2" xfId="0" applyNumberFormat="1" applyFont="1" applyFill="1" applyBorder="1" applyAlignment="1">
      <alignment horizontal="center" vertical="center"/>
    </xf>
    <xf numFmtId="0" fontId="7" fillId="12" borderId="2" xfId="0" applyFont="1" applyFill="1" applyBorder="1" applyAlignment="1">
      <alignment horizontal="left" vertical="center" wrapText="1"/>
    </xf>
    <xf numFmtId="165" fontId="7" fillId="12" borderId="2" xfId="0" applyNumberFormat="1" applyFont="1" applyFill="1" applyBorder="1" applyAlignment="1">
      <alignment horizontal="center" vertical="center"/>
    </xf>
    <xf numFmtId="0" fontId="2" fillId="0" borderId="3" xfId="0" applyFont="1" applyBorder="1"/>
    <xf numFmtId="0" fontId="3" fillId="2" borderId="2" xfId="0" applyFont="1" applyFill="1" applyBorder="1" applyAlignment="1">
      <alignment horizontal="left" vertical="center"/>
    </xf>
    <xf numFmtId="0" fontId="7" fillId="13" borderId="2" xfId="0" applyFont="1" applyFill="1" applyBorder="1" applyAlignment="1">
      <alignment horizontal="left" vertical="center" wrapText="1"/>
    </xf>
    <xf numFmtId="165" fontId="5" fillId="4" borderId="2" xfId="0" applyNumberFormat="1" applyFont="1" applyFill="1" applyBorder="1" applyAlignment="1" applyProtection="1">
      <alignment horizontal="center" vertical="center"/>
      <protection locked="0"/>
    </xf>
    <xf numFmtId="164" fontId="7" fillId="12" borderId="2" xfId="0" applyNumberFormat="1" applyFont="1" applyFill="1" applyBorder="1" applyAlignment="1">
      <alignment horizontal="center" vertical="center"/>
    </xf>
    <xf numFmtId="0" fontId="9" fillId="0" borderId="0" xfId="0" applyFont="1"/>
    <xf numFmtId="0" fontId="10" fillId="4"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5" borderId="2" xfId="0" applyFont="1" applyFill="1" applyBorder="1" applyAlignment="1">
      <alignment horizontal="left" vertical="center"/>
    </xf>
    <xf numFmtId="0" fontId="10" fillId="4" borderId="2" xfId="0" applyFont="1" applyFill="1" applyBorder="1" applyAlignment="1">
      <alignment horizontal="left" vertical="center" wrapText="1"/>
    </xf>
    <xf numFmtId="164" fontId="11" fillId="4" borderId="2" xfId="0" applyNumberFormat="1" applyFont="1" applyFill="1" applyBorder="1" applyAlignment="1" applyProtection="1">
      <alignment horizontal="center" vertical="center"/>
      <protection locked="0"/>
    </xf>
    <xf numFmtId="0" fontId="12" fillId="3"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164" fontId="11" fillId="11" borderId="2" xfId="0" applyNumberFormat="1" applyFont="1" applyFill="1" applyBorder="1" applyAlignment="1" applyProtection="1">
      <alignment horizontal="center" vertical="center"/>
      <protection locked="0"/>
    </xf>
    <xf numFmtId="0" fontId="10" fillId="11" borderId="2" xfId="0" applyFont="1" applyFill="1" applyBorder="1" applyAlignment="1">
      <alignment horizontal="center" vertical="center"/>
    </xf>
    <xf numFmtId="165" fontId="10" fillId="4" borderId="2" xfId="0" applyNumberFormat="1" applyFont="1" applyFill="1" applyBorder="1" applyAlignment="1">
      <alignment horizontal="center" vertical="center"/>
    </xf>
    <xf numFmtId="164" fontId="10" fillId="4" borderId="2" xfId="0" applyNumberFormat="1" applyFont="1" applyFill="1" applyBorder="1" applyAlignment="1">
      <alignment horizontal="center" vertical="center"/>
    </xf>
    <xf numFmtId="164" fontId="10" fillId="11" borderId="2" xfId="0" applyNumberFormat="1" applyFont="1" applyFill="1" applyBorder="1" applyAlignment="1">
      <alignment horizontal="center" vertical="center"/>
    </xf>
    <xf numFmtId="0" fontId="13" fillId="12" borderId="2" xfId="0" applyFont="1" applyFill="1" applyBorder="1" applyAlignment="1">
      <alignment horizontal="left" vertical="center" wrapText="1"/>
    </xf>
    <xf numFmtId="165" fontId="13" fillId="12" borderId="2" xfId="0" applyNumberFormat="1" applyFont="1" applyFill="1" applyBorder="1" applyAlignment="1">
      <alignment horizontal="center" vertical="center"/>
    </xf>
    <xf numFmtId="165" fontId="10" fillId="12" borderId="2" xfId="0" applyNumberFormat="1" applyFont="1" applyFill="1" applyBorder="1" applyAlignment="1">
      <alignment horizontal="center" vertical="center"/>
    </xf>
    <xf numFmtId="166" fontId="13" fillId="12" borderId="2" xfId="0" applyNumberFormat="1" applyFont="1" applyFill="1" applyBorder="1" applyAlignment="1">
      <alignment horizontal="center" vertical="center"/>
    </xf>
    <xf numFmtId="0" fontId="9" fillId="0" borderId="3" xfId="0" applyFont="1" applyBorder="1"/>
    <xf numFmtId="0" fontId="9" fillId="0" borderId="4" xfId="0" applyFont="1" applyBorder="1"/>
    <xf numFmtId="0" fontId="1" fillId="2" borderId="2" xfId="0" applyFont="1" applyFill="1" applyBorder="1" applyAlignment="1">
      <alignment horizontal="left" vertical="center"/>
    </xf>
    <xf numFmtId="0" fontId="10" fillId="13" borderId="2" xfId="0" applyFont="1" applyFill="1" applyBorder="1" applyAlignment="1">
      <alignment horizontal="left" vertical="center" wrapText="1"/>
    </xf>
    <xf numFmtId="167" fontId="13" fillId="13" borderId="2" xfId="0" applyNumberFormat="1" applyFont="1" applyFill="1" applyBorder="1" applyAlignment="1">
      <alignment horizontal="center" vertical="center"/>
    </xf>
    <xf numFmtId="0" fontId="13" fillId="13" borderId="2" xfId="0" applyFont="1" applyFill="1" applyBorder="1" applyAlignment="1">
      <alignment horizontal="left" vertical="center" wrapText="1"/>
    </xf>
    <xf numFmtId="164" fontId="14" fillId="13" borderId="2" xfId="0" applyNumberFormat="1" applyFont="1" applyFill="1" applyBorder="1" applyAlignment="1">
      <alignment horizontal="center" vertical="center"/>
    </xf>
    <xf numFmtId="165" fontId="11" fillId="4" borderId="2" xfId="0" applyNumberFormat="1" applyFont="1" applyFill="1" applyBorder="1" applyAlignment="1" applyProtection="1">
      <alignment horizontal="center" vertical="center"/>
      <protection locked="0"/>
    </xf>
    <xf numFmtId="164" fontId="10" fillId="14" borderId="2" xfId="0" applyNumberFormat="1" applyFont="1" applyFill="1" applyBorder="1" applyAlignment="1">
      <alignment horizontal="center" vertical="center"/>
    </xf>
    <xf numFmtId="165" fontId="11" fillId="11" borderId="2" xfId="0" applyNumberFormat="1" applyFont="1" applyFill="1" applyBorder="1" applyAlignment="1" applyProtection="1">
      <alignment horizontal="center" vertical="center"/>
      <protection locked="0"/>
    </xf>
    <xf numFmtId="165" fontId="10" fillId="11" borderId="2" xfId="0" applyNumberFormat="1" applyFont="1" applyFill="1" applyBorder="1" applyAlignment="1">
      <alignment horizontal="center" vertical="center"/>
    </xf>
    <xf numFmtId="166" fontId="10" fillId="11" borderId="2" xfId="0" applyNumberFormat="1" applyFont="1" applyFill="1" applyBorder="1" applyAlignment="1">
      <alignment horizontal="center" vertical="center"/>
    </xf>
    <xf numFmtId="164" fontId="13" fillId="12" borderId="2" xfId="0" applyNumberFormat="1" applyFont="1" applyFill="1" applyBorder="1" applyAlignment="1">
      <alignment horizontal="center" vertical="center"/>
    </xf>
    <xf numFmtId="168" fontId="10" fillId="4" borderId="2" xfId="0" applyNumberFormat="1" applyFont="1" applyFill="1" applyBorder="1" applyAlignment="1">
      <alignment horizontal="center" vertical="center"/>
    </xf>
    <xf numFmtId="168" fontId="10" fillId="14" borderId="2" xfId="0" applyNumberFormat="1" applyFont="1" applyFill="1" applyBorder="1" applyAlignment="1">
      <alignment horizontal="center" vertical="center"/>
    </xf>
    <xf numFmtId="169" fontId="10" fillId="11" borderId="2" xfId="0" applyNumberFormat="1" applyFont="1" applyFill="1" applyBorder="1" applyAlignment="1">
      <alignment horizontal="center" vertical="center"/>
    </xf>
    <xf numFmtId="169" fontId="10" fillId="14" borderId="2" xfId="0" applyNumberFormat="1" applyFont="1" applyFill="1" applyBorder="1" applyAlignment="1">
      <alignment horizontal="center" vertical="center"/>
    </xf>
    <xf numFmtId="164" fontId="10" fillId="13"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0" fontId="10" fillId="4" borderId="2" xfId="0" applyFont="1" applyFill="1" applyBorder="1" applyAlignment="1">
      <alignment horizontal="left" vertical="center"/>
    </xf>
    <xf numFmtId="0" fontId="10" fillId="3" borderId="2" xfId="0" applyFont="1" applyFill="1" applyBorder="1" applyAlignment="1">
      <alignment horizontal="center" vertical="center"/>
    </xf>
    <xf numFmtId="0" fontId="10" fillId="11" borderId="2" xfId="0" applyFont="1" applyFill="1" applyBorder="1" applyAlignment="1">
      <alignment horizontal="left" vertical="center"/>
    </xf>
    <xf numFmtId="164" fontId="10" fillId="12" borderId="2" xfId="0" applyNumberFormat="1" applyFont="1" applyFill="1" applyBorder="1" applyAlignment="1">
      <alignment horizontal="center" vertical="center"/>
    </xf>
    <xf numFmtId="0" fontId="13" fillId="12" borderId="2" xfId="0" applyFont="1" applyFill="1" applyBorder="1" applyAlignment="1">
      <alignment horizontal="left" vertical="center"/>
    </xf>
    <xf numFmtId="0" fontId="13" fillId="4" borderId="2" xfId="0" applyFont="1" applyFill="1" applyBorder="1" applyAlignment="1">
      <alignment horizontal="left" vertical="center"/>
    </xf>
    <xf numFmtId="0" fontId="13" fillId="11" borderId="2" xfId="0" applyFont="1" applyFill="1" applyBorder="1" applyAlignment="1">
      <alignment horizontal="left" vertical="center"/>
    </xf>
    <xf numFmtId="165" fontId="13" fillId="14" borderId="2" xfId="0" applyNumberFormat="1" applyFont="1" applyFill="1" applyBorder="1" applyAlignment="1">
      <alignment horizontal="center" vertical="center"/>
    </xf>
    <xf numFmtId="0" fontId="15" fillId="0" borderId="0" xfId="0" applyFont="1"/>
    <xf numFmtId="0" fontId="16" fillId="2" borderId="0" xfId="0" applyFont="1" applyFill="1" applyAlignment="1">
      <alignment horizontal="center" vertical="center"/>
    </xf>
    <xf numFmtId="0" fontId="17" fillId="3" borderId="1" xfId="0" applyFont="1" applyFill="1" applyBorder="1" applyAlignment="1">
      <alignment horizontal="center" vertical="center" wrapText="1"/>
    </xf>
    <xf numFmtId="0" fontId="1" fillId="5" borderId="1" xfId="0" applyFont="1" applyFill="1" applyBorder="1" applyAlignment="1">
      <alignment horizontal="left" vertical="center"/>
    </xf>
    <xf numFmtId="0" fontId="1" fillId="5" borderId="3" xfId="0" applyFont="1" applyFill="1" applyBorder="1" applyAlignment="1">
      <alignment horizontal="left"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165" fontId="7" fillId="13" borderId="2" xfId="0" applyNumberFormat="1" applyFont="1" applyFill="1" applyBorder="1" applyAlignment="1">
      <alignment horizontal="center" vertical="center"/>
    </xf>
    <xf numFmtId="164" fontId="18" fillId="12" borderId="2" xfId="0" applyNumberFormat="1" applyFont="1" applyFill="1" applyBorder="1" applyAlignment="1">
      <alignment horizontal="center" vertical="center"/>
    </xf>
    <xf numFmtId="164" fontId="8" fillId="14" borderId="2" xfId="0" applyNumberFormat="1" applyFont="1" applyFill="1" applyBorder="1" applyAlignment="1">
      <alignment horizontal="center" vertical="center"/>
    </xf>
    <xf numFmtId="164" fontId="6" fillId="3" borderId="2" xfId="0" applyNumberFormat="1" applyFont="1" applyFill="1" applyBorder="1" applyAlignment="1">
      <alignment horizontal="left" vertical="center" wrapText="1"/>
    </xf>
    <xf numFmtId="0" fontId="3" fillId="10" borderId="2" xfId="0" applyFont="1" applyFill="1" applyBorder="1" applyAlignment="1">
      <alignment horizontal="left" vertical="center"/>
    </xf>
    <xf numFmtId="170" fontId="4" fillId="4" borderId="2" xfId="0" applyNumberFormat="1" applyFont="1" applyFill="1" applyBorder="1" applyAlignment="1">
      <alignment horizontal="center" vertical="center"/>
    </xf>
    <xf numFmtId="170" fontId="4" fillId="11" borderId="2" xfId="0" applyNumberFormat="1" applyFont="1" applyFill="1" applyBorder="1" applyAlignment="1">
      <alignment horizontal="center" vertical="center"/>
    </xf>
    <xf numFmtId="0" fontId="4" fillId="14" borderId="2" xfId="0" applyFont="1" applyFill="1" applyBorder="1" applyAlignment="1">
      <alignment horizontal="left" vertical="center" wrapText="1"/>
    </xf>
    <xf numFmtId="165" fontId="8" fillId="14" borderId="2" xfId="0" applyNumberFormat="1" applyFont="1" applyFill="1" applyBorder="1" applyAlignment="1">
      <alignment horizontal="center" vertical="center"/>
    </xf>
    <xf numFmtId="0" fontId="7" fillId="14" borderId="2" xfId="0" applyFont="1" applyFill="1" applyBorder="1" applyAlignment="1">
      <alignment horizontal="left" vertical="center" wrapText="1"/>
    </xf>
    <xf numFmtId="0" fontId="4" fillId="14" borderId="2" xfId="0" applyFont="1" applyFill="1" applyBorder="1" applyAlignment="1">
      <alignment horizontal="center" vertical="center"/>
    </xf>
    <xf numFmtId="164" fontId="7" fillId="13" borderId="2" xfId="0" applyNumberFormat="1" applyFont="1" applyFill="1" applyBorder="1" applyAlignment="1">
      <alignment horizontal="center" vertical="center"/>
    </xf>
    <xf numFmtId="0" fontId="4" fillId="13" borderId="2" xfId="0" applyFont="1" applyFill="1" applyBorder="1" applyAlignment="1">
      <alignment horizontal="center" vertical="center"/>
    </xf>
    <xf numFmtId="167" fontId="8" fillId="13" borderId="2" xfId="0" applyNumberFormat="1" applyFont="1" applyFill="1" applyBorder="1" applyAlignment="1">
      <alignment horizontal="center" vertical="center"/>
    </xf>
    <xf numFmtId="0" fontId="4" fillId="12" borderId="2" xfId="0" applyFont="1" applyFill="1" applyBorder="1" applyAlignment="1">
      <alignment horizontal="center" vertical="center"/>
    </xf>
    <xf numFmtId="0" fontId="4" fillId="12" borderId="2" xfId="0" applyFont="1" applyFill="1" applyBorder="1" applyAlignment="1">
      <alignment horizontal="left" vertical="center" wrapText="1"/>
    </xf>
    <xf numFmtId="0" fontId="6"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8B8B8"/>
      <rgbColor rgb="FF808080"/>
      <rgbColor rgb="FF9999FF"/>
      <rgbColor rgb="FF6E2F8A"/>
      <rgbColor rgb="FFFFF2CC"/>
      <rgbColor rgb="FFDDEEFF"/>
      <rgbColor rgb="FF660066"/>
      <rgbColor rgb="FFFF8080"/>
      <rgbColor rgb="FF1A5276"/>
      <rgbColor rgb="FFCCCCFF"/>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ADBD8"/>
      <rgbColor rgb="FF3366FF"/>
      <rgbColor rgb="FF33CCCC"/>
      <rgbColor rgb="FF99CC00"/>
      <rgbColor rgb="FFFFCC00"/>
      <rgbColor rgb="FFFF9900"/>
      <rgbColor rgb="FFFF6600"/>
      <rgbColor rgb="FF595959"/>
      <rgbColor rgb="FF969696"/>
      <rgbColor rgb="FF1F3864"/>
      <rgbColor rgb="FF339966"/>
      <rgbColor rgb="FF003300"/>
      <rgbColor rgb="FF333300"/>
      <rgbColor rgb="FF922B21"/>
      <rgbColor rgb="FF784212"/>
      <rgbColor rgb="FF2E5090"/>
      <rgbColor rgb="FF145A3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58"/>
  <sheetViews>
    <sheetView showGridLines="0" tabSelected="1" zoomScaleNormal="100" workbookViewId="0">
      <selection activeCell="P48" sqref="P48"/>
    </sheetView>
  </sheetViews>
  <sheetFormatPr baseColWidth="10" defaultColWidth="8.6640625" defaultRowHeight="19" x14ac:dyDescent="0.25"/>
  <cols>
    <col min="1" max="1" width="2" style="24" customWidth="1"/>
    <col min="2" max="2" width="36" style="24" customWidth="1"/>
    <col min="3" max="4" width="18" style="24" customWidth="1"/>
    <col min="5" max="10" width="16" style="24" customWidth="1"/>
    <col min="11" max="11" width="63.83203125" style="24" customWidth="1"/>
    <col min="12" max="12" width="0.5" style="24" customWidth="1"/>
    <col min="13" max="16384" width="8.6640625" style="24"/>
  </cols>
  <sheetData>
    <row r="2" spans="2:12" ht="20" x14ac:dyDescent="0.25">
      <c r="B2" s="76" t="s">
        <v>0</v>
      </c>
      <c r="C2" s="76"/>
      <c r="D2" s="76"/>
      <c r="E2" s="76"/>
      <c r="F2" s="76"/>
      <c r="G2" s="76"/>
      <c r="H2" s="76"/>
      <c r="I2" s="76"/>
      <c r="J2" s="76"/>
      <c r="K2" s="76"/>
      <c r="L2" s="76"/>
    </row>
    <row r="3" spans="2:12" ht="21" x14ac:dyDescent="0.25">
      <c r="B3" s="75"/>
      <c r="C3" s="75"/>
      <c r="D3" s="75"/>
      <c r="E3" s="75"/>
      <c r="F3" s="75"/>
      <c r="G3" s="75"/>
      <c r="H3" s="75"/>
      <c r="I3" s="75"/>
      <c r="J3" s="75"/>
      <c r="K3" s="75"/>
      <c r="L3" s="75"/>
    </row>
    <row r="4" spans="2:12" ht="20" x14ac:dyDescent="0.25">
      <c r="B4" s="77" t="s">
        <v>1</v>
      </c>
      <c r="C4" s="77"/>
      <c r="D4" s="77"/>
      <c r="E4" s="77"/>
      <c r="F4" s="77"/>
      <c r="G4" s="77"/>
      <c r="H4" s="77"/>
      <c r="I4" s="77"/>
      <c r="J4" s="77"/>
      <c r="K4" s="77"/>
      <c r="L4" s="77"/>
    </row>
    <row r="5" spans="2:12" x14ac:dyDescent="0.25">
      <c r="C5" s="25"/>
    </row>
    <row r="6" spans="2:12" ht="38" x14ac:dyDescent="0.25">
      <c r="B6" s="26" t="s">
        <v>2</v>
      </c>
      <c r="C6" s="27" t="s">
        <v>3</v>
      </c>
      <c r="D6" s="28" t="s">
        <v>4</v>
      </c>
      <c r="E6" s="29" t="s">
        <v>5</v>
      </c>
      <c r="F6" s="30" t="s">
        <v>6</v>
      </c>
      <c r="G6" s="31" t="s">
        <v>7</v>
      </c>
      <c r="H6" s="32" t="s">
        <v>8</v>
      </c>
      <c r="I6" s="28" t="s">
        <v>9</v>
      </c>
      <c r="J6" s="29" t="s">
        <v>10</v>
      </c>
      <c r="K6" s="33" t="s">
        <v>11</v>
      </c>
    </row>
    <row r="7" spans="2:12" x14ac:dyDescent="0.25">
      <c r="C7" s="25"/>
    </row>
    <row r="8" spans="2:12" x14ac:dyDescent="0.25">
      <c r="B8" s="34" t="s">
        <v>12</v>
      </c>
      <c r="C8" s="34"/>
      <c r="D8" s="34"/>
      <c r="E8" s="34"/>
      <c r="F8" s="34"/>
      <c r="G8" s="34"/>
      <c r="H8" s="34"/>
      <c r="I8" s="34"/>
      <c r="J8" s="34"/>
      <c r="K8" s="34"/>
      <c r="L8" s="34"/>
    </row>
    <row r="9" spans="2:12" x14ac:dyDescent="0.25">
      <c r="B9" s="35" t="s">
        <v>13</v>
      </c>
      <c r="C9" s="36">
        <v>500000</v>
      </c>
      <c r="D9" s="25"/>
      <c r="E9" s="25"/>
      <c r="F9" s="25"/>
      <c r="G9" s="25"/>
      <c r="H9" s="25"/>
      <c r="I9" s="25"/>
      <c r="J9" s="25"/>
      <c r="K9" s="37" t="s">
        <v>14</v>
      </c>
    </row>
    <row r="10" spans="2:12" ht="38" x14ac:dyDescent="0.25">
      <c r="B10" s="38" t="s">
        <v>15</v>
      </c>
      <c r="C10" s="39">
        <v>150000</v>
      </c>
      <c r="D10" s="40"/>
      <c r="E10" s="40"/>
      <c r="F10" s="40"/>
      <c r="G10" s="40"/>
      <c r="H10" s="40"/>
      <c r="I10" s="40"/>
      <c r="J10" s="40"/>
      <c r="K10" s="37" t="s">
        <v>16</v>
      </c>
    </row>
    <row r="11" spans="2:12" x14ac:dyDescent="0.25">
      <c r="B11" s="35" t="s">
        <v>17</v>
      </c>
      <c r="C11" s="41">
        <f>IFERROR(C10/C9,0)</f>
        <v>0.3</v>
      </c>
      <c r="D11" s="25"/>
      <c r="E11" s="25"/>
      <c r="F11" s="25"/>
      <c r="G11" s="25"/>
      <c r="H11" s="25"/>
      <c r="I11" s="25"/>
      <c r="J11" s="25"/>
      <c r="K11" s="37" t="s">
        <v>18</v>
      </c>
    </row>
    <row r="12" spans="2:12" x14ac:dyDescent="0.25">
      <c r="B12" s="38" t="s">
        <v>19</v>
      </c>
      <c r="C12" s="39">
        <v>180</v>
      </c>
      <c r="D12" s="40"/>
      <c r="E12" s="40"/>
      <c r="F12" s="40"/>
      <c r="G12" s="40"/>
      <c r="H12" s="40"/>
      <c r="I12" s="40"/>
      <c r="J12" s="40"/>
      <c r="K12" s="37" t="s">
        <v>20</v>
      </c>
    </row>
    <row r="13" spans="2:12" x14ac:dyDescent="0.25">
      <c r="B13" s="35" t="s">
        <v>21</v>
      </c>
      <c r="C13" s="36">
        <v>150</v>
      </c>
      <c r="D13" s="25"/>
      <c r="E13" s="25"/>
      <c r="F13" s="25"/>
      <c r="G13" s="25"/>
      <c r="H13" s="25"/>
      <c r="I13" s="25"/>
      <c r="J13" s="25"/>
      <c r="K13" s="37" t="s">
        <v>22</v>
      </c>
    </row>
    <row r="14" spans="2:12" x14ac:dyDescent="0.25">
      <c r="B14" s="38" t="s">
        <v>23</v>
      </c>
      <c r="C14" s="39">
        <v>128</v>
      </c>
      <c r="D14" s="40"/>
      <c r="E14" s="40"/>
      <c r="F14" s="40"/>
      <c r="G14" s="40"/>
      <c r="H14" s="40"/>
      <c r="I14" s="40"/>
      <c r="J14" s="40"/>
      <c r="K14" s="37" t="s">
        <v>24</v>
      </c>
    </row>
    <row r="15" spans="2:12" x14ac:dyDescent="0.25">
      <c r="B15" s="35" t="s">
        <v>25</v>
      </c>
      <c r="C15" s="42">
        <f>C13+C14</f>
        <v>278</v>
      </c>
      <c r="D15" s="25"/>
      <c r="E15" s="25"/>
      <c r="F15" s="25"/>
      <c r="G15" s="25"/>
      <c r="H15" s="25"/>
      <c r="I15" s="25"/>
      <c r="J15" s="25"/>
      <c r="K15" s="37" t="s">
        <v>26</v>
      </c>
    </row>
    <row r="16" spans="2:12" x14ac:dyDescent="0.25">
      <c r="B16" s="38" t="s">
        <v>27</v>
      </c>
      <c r="C16" s="43">
        <f>C15*C12</f>
        <v>50040</v>
      </c>
      <c r="D16" s="40"/>
      <c r="E16" s="40"/>
      <c r="F16" s="40"/>
      <c r="G16" s="40"/>
      <c r="H16" s="40"/>
      <c r="I16" s="40"/>
      <c r="J16" s="40"/>
      <c r="K16" s="37" t="s">
        <v>28</v>
      </c>
    </row>
    <row r="17" spans="2:12" ht="57" x14ac:dyDescent="0.25">
      <c r="B17" s="44" t="s">
        <v>29</v>
      </c>
      <c r="C17" s="45">
        <f>IFERROR((C10-C16)/C16,0)</f>
        <v>1.9976019184652278</v>
      </c>
      <c r="D17" s="46">
        <f>IFERROR((C10-C16)/C16,0)</f>
        <v>1.9976019184652278</v>
      </c>
      <c r="E17" s="46">
        <f>IFERROR((C10-C16)/C16,0)</f>
        <v>1.9976019184652278</v>
      </c>
      <c r="F17" s="46">
        <f>IFERROR((C10-C16)/C16,0)</f>
        <v>1.9976019184652278</v>
      </c>
      <c r="G17" s="46">
        <f>IFERROR((C10-C16)/C16,0)</f>
        <v>1.9976019184652278</v>
      </c>
      <c r="H17" s="46">
        <f>IFERROR((C10-C16)/C16,0)</f>
        <v>1.9976019184652278</v>
      </c>
      <c r="I17" s="46">
        <f>IFERROR((C10-C16)/C16,0)</f>
        <v>1.9976019184652278</v>
      </c>
      <c r="J17" s="46">
        <f>IFERROR((C10-C16)/C16,0)</f>
        <v>1.9976019184652278</v>
      </c>
      <c r="K17" s="37" t="s">
        <v>30</v>
      </c>
    </row>
    <row r="18" spans="2:12" ht="76" x14ac:dyDescent="0.25">
      <c r="B18" s="38" t="s">
        <v>31</v>
      </c>
      <c r="C18" s="47">
        <f>IFERROR(C17/C12,0)</f>
        <v>1.1097788435917933E-2</v>
      </c>
      <c r="D18" s="40"/>
      <c r="E18" s="40"/>
      <c r="F18" s="40"/>
      <c r="G18" s="40"/>
      <c r="H18" s="40"/>
      <c r="I18" s="40"/>
      <c r="J18" s="40"/>
      <c r="K18" s="37" t="s">
        <v>32</v>
      </c>
    </row>
    <row r="19" spans="2:12" x14ac:dyDescent="0.25">
      <c r="B19" s="50" t="s">
        <v>33</v>
      </c>
      <c r="C19" s="50"/>
      <c r="D19" s="50"/>
      <c r="E19" s="50"/>
      <c r="F19" s="50"/>
      <c r="G19" s="50"/>
      <c r="H19" s="50"/>
      <c r="I19" s="50"/>
      <c r="J19" s="50"/>
      <c r="K19" s="50"/>
    </row>
    <row r="20" spans="2:12" ht="57" x14ac:dyDescent="0.25">
      <c r="B20" s="38" t="s">
        <v>34</v>
      </c>
      <c r="C20" s="36">
        <v>5</v>
      </c>
      <c r="K20" s="37" t="s">
        <v>35</v>
      </c>
    </row>
    <row r="21" spans="2:12" ht="57" x14ac:dyDescent="0.25">
      <c r="B21" s="51" t="s">
        <v>36</v>
      </c>
      <c r="C21" s="52">
        <f>1+C20</f>
        <v>6</v>
      </c>
      <c r="K21" s="37" t="s">
        <v>37</v>
      </c>
    </row>
    <row r="22" spans="2:12" ht="57" x14ac:dyDescent="0.25">
      <c r="B22" s="53" t="s">
        <v>38</v>
      </c>
      <c r="C22" s="54">
        <f>IFERROR(C18*C21*C16,0)</f>
        <v>3332.0000000000005</v>
      </c>
      <c r="D22" s="54">
        <f>IFERROR(C18*C21*C16,0)</f>
        <v>3332.0000000000005</v>
      </c>
      <c r="E22" s="54">
        <f>IFERROR(C18*C21*C16,0)</f>
        <v>3332.0000000000005</v>
      </c>
      <c r="F22" s="54">
        <f>IFERROR(C18*C21*C16,0)</f>
        <v>3332.0000000000005</v>
      </c>
      <c r="G22" s="54">
        <f>IFERROR(C18*C21*C16,0)</f>
        <v>3332.0000000000005</v>
      </c>
      <c r="H22" s="54">
        <f>IFERROR(C18*C21*C16,0)</f>
        <v>3332.0000000000005</v>
      </c>
      <c r="I22" s="54">
        <f>IFERROR(C18*C21*C16,0)</f>
        <v>3332.0000000000005</v>
      </c>
      <c r="J22" s="54">
        <f>IFERROR(C18*C21*C16,0)</f>
        <v>3332.0000000000005</v>
      </c>
      <c r="K22" s="37" t="s">
        <v>39</v>
      </c>
    </row>
    <row r="23" spans="2:12" x14ac:dyDescent="0.25">
      <c r="B23" s="78" t="s">
        <v>40</v>
      </c>
      <c r="C23" s="79"/>
      <c r="D23" s="79"/>
      <c r="E23" s="79"/>
      <c r="F23" s="79"/>
      <c r="G23" s="79"/>
      <c r="H23" s="79"/>
      <c r="I23" s="79"/>
      <c r="J23" s="79"/>
      <c r="K23" s="79"/>
      <c r="L23" s="49"/>
    </row>
    <row r="24" spans="2:12" x14ac:dyDescent="0.25">
      <c r="B24" s="35" t="s">
        <v>41</v>
      </c>
      <c r="C24" s="25" t="s">
        <v>42</v>
      </c>
      <c r="D24" s="55">
        <v>0.1</v>
      </c>
      <c r="E24" s="55">
        <v>0.15</v>
      </c>
      <c r="F24" s="55">
        <v>0.2</v>
      </c>
      <c r="G24" s="55">
        <v>0.25</v>
      </c>
      <c r="H24" s="55">
        <v>0.3</v>
      </c>
      <c r="I24" s="55">
        <v>0.4</v>
      </c>
      <c r="J24" s="55">
        <v>0.5</v>
      </c>
      <c r="K24" s="37" t="s">
        <v>43</v>
      </c>
    </row>
    <row r="25" spans="2:12" x14ac:dyDescent="0.25">
      <c r="B25" s="38" t="s">
        <v>44</v>
      </c>
      <c r="C25" s="43">
        <v>0</v>
      </c>
      <c r="D25" s="43">
        <f t="shared" ref="D25:J25" si="0">ROUND($C$12*D24,0)</f>
        <v>18</v>
      </c>
      <c r="E25" s="43">
        <f t="shared" si="0"/>
        <v>27</v>
      </c>
      <c r="F25" s="43">
        <f t="shared" si="0"/>
        <v>36</v>
      </c>
      <c r="G25" s="43">
        <f t="shared" si="0"/>
        <v>45</v>
      </c>
      <c r="H25" s="43">
        <f t="shared" si="0"/>
        <v>54</v>
      </c>
      <c r="I25" s="43">
        <f t="shared" si="0"/>
        <v>72</v>
      </c>
      <c r="J25" s="43">
        <f t="shared" si="0"/>
        <v>90</v>
      </c>
      <c r="K25" s="37" t="s">
        <v>45</v>
      </c>
    </row>
    <row r="26" spans="2:12" x14ac:dyDescent="0.25">
      <c r="B26" s="35" t="s">
        <v>46</v>
      </c>
      <c r="C26" s="42">
        <f>$C$12</f>
        <v>180</v>
      </c>
      <c r="D26" s="42">
        <f t="shared" ref="D26:J26" si="1">$C$12+D25</f>
        <v>198</v>
      </c>
      <c r="E26" s="42">
        <f t="shared" si="1"/>
        <v>207</v>
      </c>
      <c r="F26" s="42">
        <f t="shared" si="1"/>
        <v>216</v>
      </c>
      <c r="G26" s="42">
        <f t="shared" si="1"/>
        <v>225</v>
      </c>
      <c r="H26" s="42">
        <f t="shared" si="1"/>
        <v>234</v>
      </c>
      <c r="I26" s="42">
        <f t="shared" si="1"/>
        <v>252</v>
      </c>
      <c r="J26" s="42">
        <f t="shared" si="1"/>
        <v>270</v>
      </c>
      <c r="K26" s="48"/>
      <c r="L26" s="49"/>
    </row>
    <row r="27" spans="2:12" x14ac:dyDescent="0.25">
      <c r="B27" s="38" t="s">
        <v>47</v>
      </c>
      <c r="C27" s="43">
        <v>0</v>
      </c>
      <c r="D27" s="43">
        <f t="shared" ref="D27:J27" si="2">D25*$C$15</f>
        <v>5004</v>
      </c>
      <c r="E27" s="43">
        <f t="shared" si="2"/>
        <v>7506</v>
      </c>
      <c r="F27" s="43">
        <f t="shared" si="2"/>
        <v>10008</v>
      </c>
      <c r="G27" s="43">
        <f t="shared" si="2"/>
        <v>12510</v>
      </c>
      <c r="H27" s="43">
        <f t="shared" si="2"/>
        <v>15012</v>
      </c>
      <c r="I27" s="43">
        <f t="shared" si="2"/>
        <v>20016</v>
      </c>
      <c r="J27" s="43">
        <f t="shared" si="2"/>
        <v>25020</v>
      </c>
    </row>
    <row r="28" spans="2:12" ht="57" x14ac:dyDescent="0.25">
      <c r="B28" s="35" t="s">
        <v>48</v>
      </c>
      <c r="C28" s="56">
        <v>0</v>
      </c>
      <c r="D28" s="56">
        <f t="shared" ref="D28:J28" si="3">D27*(1+$C$18)^D25</f>
        <v>6103.7141900622601</v>
      </c>
      <c r="E28" s="56">
        <f t="shared" si="3"/>
        <v>10111.69339519506</v>
      </c>
      <c r="F28" s="56">
        <f t="shared" si="3"/>
        <v>14890.218590714388</v>
      </c>
      <c r="G28" s="56">
        <f t="shared" si="3"/>
        <v>20556.516940384663</v>
      </c>
      <c r="H28" s="56">
        <f t="shared" si="3"/>
        <v>27243.89643443414</v>
      </c>
      <c r="I28" s="56">
        <f t="shared" si="3"/>
        <v>44308.275315598796</v>
      </c>
      <c r="J28" s="56">
        <f t="shared" si="3"/>
        <v>67557.216422113765</v>
      </c>
      <c r="K28" s="37" t="s">
        <v>49</v>
      </c>
    </row>
    <row r="29" spans="2:12" ht="38" x14ac:dyDescent="0.25">
      <c r="B29" s="38" t="s">
        <v>50</v>
      </c>
      <c r="C29" s="42">
        <f>$C$16</f>
        <v>50040</v>
      </c>
      <c r="D29" s="42">
        <f t="shared" ref="D29:J29" si="4">$C$16+D28</f>
        <v>56143.714190062259</v>
      </c>
      <c r="E29" s="42">
        <f t="shared" si="4"/>
        <v>60151.693395195063</v>
      </c>
      <c r="F29" s="42">
        <f t="shared" si="4"/>
        <v>64930.218590714387</v>
      </c>
      <c r="G29" s="42">
        <f t="shared" si="4"/>
        <v>70596.516940384667</v>
      </c>
      <c r="H29" s="42">
        <f t="shared" si="4"/>
        <v>77283.896434434137</v>
      </c>
      <c r="I29" s="42">
        <f t="shared" si="4"/>
        <v>94348.275315598788</v>
      </c>
      <c r="J29" s="42">
        <f t="shared" si="4"/>
        <v>117597.21642211376</v>
      </c>
      <c r="K29" s="37" t="s">
        <v>51</v>
      </c>
    </row>
    <row r="30" spans="2:12" x14ac:dyDescent="0.25">
      <c r="B30" s="34" t="s">
        <v>52</v>
      </c>
      <c r="C30" s="34"/>
      <c r="D30" s="34"/>
      <c r="E30" s="34"/>
      <c r="F30" s="34"/>
      <c r="G30" s="34"/>
      <c r="H30" s="34"/>
      <c r="I30" s="34"/>
      <c r="J30" s="34"/>
      <c r="K30" s="34"/>
    </row>
    <row r="31" spans="2:12" ht="76" x14ac:dyDescent="0.25">
      <c r="B31" s="38" t="s">
        <v>53</v>
      </c>
      <c r="C31" s="57">
        <v>0.08</v>
      </c>
      <c r="D31" s="58"/>
      <c r="E31" s="58"/>
      <c r="F31" s="58"/>
      <c r="G31" s="58"/>
      <c r="H31" s="58"/>
      <c r="I31" s="58"/>
      <c r="J31" s="58"/>
      <c r="K31" s="37" t="s">
        <v>54</v>
      </c>
    </row>
    <row r="32" spans="2:12" ht="76" x14ac:dyDescent="0.25">
      <c r="B32" s="35" t="s">
        <v>55</v>
      </c>
      <c r="C32" s="59">
        <f t="shared" ref="C32:J32" si="5">$C$18</f>
        <v>1.1097788435917933E-2</v>
      </c>
      <c r="D32" s="59">
        <f t="shared" si="5"/>
        <v>1.1097788435917933E-2</v>
      </c>
      <c r="E32" s="59">
        <f t="shared" si="5"/>
        <v>1.1097788435917933E-2</v>
      </c>
      <c r="F32" s="59">
        <f t="shared" si="5"/>
        <v>1.1097788435917933E-2</v>
      </c>
      <c r="G32" s="59">
        <f t="shared" si="5"/>
        <v>1.1097788435917933E-2</v>
      </c>
      <c r="H32" s="59">
        <f t="shared" si="5"/>
        <v>1.1097788435917933E-2</v>
      </c>
      <c r="I32" s="59">
        <f t="shared" si="5"/>
        <v>1.1097788435917933E-2</v>
      </c>
      <c r="J32" s="59">
        <f t="shared" si="5"/>
        <v>1.1097788435917933E-2</v>
      </c>
      <c r="K32" s="37" t="s">
        <v>56</v>
      </c>
    </row>
    <row r="33" spans="2:11" x14ac:dyDescent="0.25">
      <c r="B33" s="35" t="s">
        <v>57</v>
      </c>
      <c r="C33" s="42">
        <f t="shared" ref="C33:J33" si="6">$C$10</f>
        <v>150000</v>
      </c>
      <c r="D33" s="42">
        <f t="shared" si="6"/>
        <v>150000</v>
      </c>
      <c r="E33" s="42">
        <f t="shared" si="6"/>
        <v>150000</v>
      </c>
      <c r="F33" s="42">
        <f t="shared" si="6"/>
        <v>150000</v>
      </c>
      <c r="G33" s="42">
        <f t="shared" si="6"/>
        <v>150000</v>
      </c>
      <c r="H33" s="42">
        <f t="shared" si="6"/>
        <v>150000</v>
      </c>
      <c r="I33" s="42">
        <f t="shared" si="6"/>
        <v>150000</v>
      </c>
      <c r="J33" s="42">
        <f t="shared" si="6"/>
        <v>150000</v>
      </c>
    </row>
    <row r="34" spans="2:11" ht="57" x14ac:dyDescent="0.25">
      <c r="B34" s="38" t="s">
        <v>58</v>
      </c>
      <c r="C34" s="42">
        <v>0</v>
      </c>
      <c r="D34" s="56">
        <f>$C$10*(1-(1-$C$18)^D25)</f>
        <v>27298.032783385599</v>
      </c>
      <c r="E34" s="56">
        <f>$C$10*(1-(1-$C$18)^E25)</f>
        <v>39023.337724414603</v>
      </c>
      <c r="F34" s="56">
        <f>$C$10*(1-(1-$C$18)^F25)</f>
        <v>49628.181607819235</v>
      </c>
      <c r="G34" s="56">
        <f>$C$10*(1-(1-$C$18)^G25)</f>
        <v>59219.634824345558</v>
      </c>
      <c r="H34" s="56">
        <f>$C$10*(1-(1-$C$18)^H25)</f>
        <v>67894.536201137729</v>
      </c>
      <c r="I34" s="56">
        <f>$C$10*(1-(1-$C$18)^I25)</f>
        <v>82836.65381764721</v>
      </c>
      <c r="J34" s="56">
        <f>$C$10*(1-(1-$C$18)^J25)</f>
        <v>95059.501990498815</v>
      </c>
      <c r="K34" s="37" t="s">
        <v>59</v>
      </c>
    </row>
    <row r="35" spans="2:11" x14ac:dyDescent="0.25">
      <c r="B35" s="35" t="s">
        <v>60</v>
      </c>
      <c r="C35" s="60">
        <f>$C$10</f>
        <v>150000</v>
      </c>
      <c r="D35" s="60">
        <f t="shared" ref="D35:J35" si="7">$C$10-D34</f>
        <v>122701.9672166144</v>
      </c>
      <c r="E35" s="60">
        <f t="shared" si="7"/>
        <v>110976.6622755854</v>
      </c>
      <c r="F35" s="60">
        <f t="shared" si="7"/>
        <v>100371.81839218076</v>
      </c>
      <c r="G35" s="60">
        <f t="shared" si="7"/>
        <v>90780.365175654442</v>
      </c>
      <c r="H35" s="60">
        <f t="shared" si="7"/>
        <v>82105.463798862271</v>
      </c>
      <c r="I35" s="60">
        <f t="shared" si="7"/>
        <v>67163.34618235279</v>
      </c>
      <c r="J35" s="60">
        <f t="shared" si="7"/>
        <v>54940.498009501185</v>
      </c>
      <c r="K35" s="37" t="s">
        <v>61</v>
      </c>
    </row>
    <row r="36" spans="2:11" ht="38" x14ac:dyDescent="0.25">
      <c r="B36" s="38" t="s">
        <v>62</v>
      </c>
      <c r="C36" s="58">
        <v>0</v>
      </c>
      <c r="D36" s="58">
        <f t="shared" ref="D36:J36" si="8">IFERROR(D34/$C$10,0)</f>
        <v>0.18198688522257067</v>
      </c>
      <c r="E36" s="58">
        <f t="shared" si="8"/>
        <v>0.26015558482943069</v>
      </c>
      <c r="F36" s="58">
        <f t="shared" si="8"/>
        <v>0.33085454405212822</v>
      </c>
      <c r="G36" s="58">
        <f t="shared" si="8"/>
        <v>0.39479756549563705</v>
      </c>
      <c r="H36" s="58">
        <f t="shared" si="8"/>
        <v>0.45263024134091817</v>
      </c>
      <c r="I36" s="58">
        <f t="shared" si="8"/>
        <v>0.55224435878431477</v>
      </c>
      <c r="J36" s="58">
        <f t="shared" si="8"/>
        <v>0.63373001326999212</v>
      </c>
      <c r="K36" s="37" t="s">
        <v>63</v>
      </c>
    </row>
    <row r="37" spans="2:11" x14ac:dyDescent="0.25">
      <c r="B37" s="34" t="s">
        <v>64</v>
      </c>
      <c r="C37" s="34"/>
      <c r="D37" s="34"/>
      <c r="E37" s="34"/>
      <c r="F37" s="34"/>
      <c r="G37" s="34"/>
      <c r="H37" s="34"/>
      <c r="I37" s="34"/>
      <c r="J37" s="34"/>
      <c r="K37" s="34"/>
    </row>
    <row r="38" spans="2:11" ht="38" x14ac:dyDescent="0.25">
      <c r="B38" s="35" t="s">
        <v>65</v>
      </c>
      <c r="C38" s="42">
        <f>$C$10</f>
        <v>150000</v>
      </c>
      <c r="D38" s="42">
        <f>D35</f>
        <v>122701.9672166144</v>
      </c>
      <c r="E38" s="42">
        <f>E35</f>
        <v>110976.6622755854</v>
      </c>
      <c r="F38" s="42">
        <f>F35</f>
        <v>100371.81839218076</v>
      </c>
      <c r="G38" s="42">
        <f>G35</f>
        <v>90780.365175654442</v>
      </c>
      <c r="H38" s="42">
        <f>H35</f>
        <v>82105.463798862271</v>
      </c>
      <c r="I38" s="42">
        <f>I35</f>
        <v>67163.34618235279</v>
      </c>
      <c r="J38" s="42">
        <f>J35</f>
        <v>54940.498009501185</v>
      </c>
      <c r="K38" s="37" t="s">
        <v>66</v>
      </c>
    </row>
    <row r="39" spans="2:11" ht="38" x14ac:dyDescent="0.25">
      <c r="B39" s="38" t="s">
        <v>50</v>
      </c>
      <c r="C39" s="43">
        <f>$C$16</f>
        <v>50040</v>
      </c>
      <c r="D39" s="43">
        <f>D29</f>
        <v>56143.714190062259</v>
      </c>
      <c r="E39" s="43">
        <f>E29</f>
        <v>60151.693395195063</v>
      </c>
      <c r="F39" s="43">
        <f>F29</f>
        <v>64930.218590714387</v>
      </c>
      <c r="G39" s="43">
        <f>G29</f>
        <v>70596.516940384667</v>
      </c>
      <c r="H39" s="43">
        <f>H29</f>
        <v>77283.896434434137</v>
      </c>
      <c r="I39" s="43">
        <f>I29</f>
        <v>94348.275315598788</v>
      </c>
      <c r="J39" s="43">
        <f>J29</f>
        <v>117597.21642211376</v>
      </c>
      <c r="K39" s="37" t="s">
        <v>67</v>
      </c>
    </row>
    <row r="40" spans="2:11" x14ac:dyDescent="0.25">
      <c r="B40" s="44" t="s">
        <v>68</v>
      </c>
      <c r="C40" s="60">
        <f t="shared" ref="C40:J40" si="9">C38-C39</f>
        <v>99960</v>
      </c>
      <c r="D40" s="60">
        <f t="shared" si="9"/>
        <v>66558.253026552149</v>
      </c>
      <c r="E40" s="60">
        <f t="shared" si="9"/>
        <v>50824.968880390341</v>
      </c>
      <c r="F40" s="60">
        <f t="shared" si="9"/>
        <v>35441.599801466378</v>
      </c>
      <c r="G40" s="60">
        <f t="shared" si="9"/>
        <v>20183.848235269776</v>
      </c>
      <c r="H40" s="60">
        <f t="shared" si="9"/>
        <v>4821.5673644281342</v>
      </c>
      <c r="I40" s="60">
        <f t="shared" si="9"/>
        <v>-27184.929133245998</v>
      </c>
      <c r="J40" s="60">
        <f t="shared" si="9"/>
        <v>-62656.718412612579</v>
      </c>
      <c r="K40" s="37" t="s">
        <v>69</v>
      </c>
    </row>
    <row r="41" spans="2:11" x14ac:dyDescent="0.25">
      <c r="B41" s="44" t="s">
        <v>70</v>
      </c>
      <c r="C41" s="45">
        <f t="shared" ref="C41:J41" si="10">IFERROR(C40/$C$9,0)</f>
        <v>0.19991999999999999</v>
      </c>
      <c r="D41" s="45">
        <f t="shared" si="10"/>
        <v>0.13311650605310429</v>
      </c>
      <c r="E41" s="45">
        <f t="shared" si="10"/>
        <v>0.10164993776078068</v>
      </c>
      <c r="F41" s="45">
        <f t="shared" si="10"/>
        <v>7.0883199602932753E-2</v>
      </c>
      <c r="G41" s="45">
        <f t="shared" si="10"/>
        <v>4.0367696470539553E-2</v>
      </c>
      <c r="H41" s="45">
        <f t="shared" si="10"/>
        <v>9.6431347288562681E-3</v>
      </c>
      <c r="I41" s="45">
        <f t="shared" si="10"/>
        <v>-5.4369858266491995E-2</v>
      </c>
      <c r="J41" s="45">
        <f t="shared" si="10"/>
        <v>-0.12531343682522517</v>
      </c>
      <c r="K41" s="37" t="s">
        <v>71</v>
      </c>
    </row>
    <row r="42" spans="2:11" x14ac:dyDescent="0.25">
      <c r="B42" s="35" t="s">
        <v>72</v>
      </c>
      <c r="C42" s="61">
        <v>0</v>
      </c>
      <c r="D42" s="62">
        <f t="shared" ref="D42:J42" si="11">D40-$C$40</f>
        <v>-33401.746973447851</v>
      </c>
      <c r="E42" s="62">
        <f t="shared" si="11"/>
        <v>-49135.031119609659</v>
      </c>
      <c r="F42" s="62">
        <f t="shared" si="11"/>
        <v>-64518.400198533622</v>
      </c>
      <c r="G42" s="62">
        <f t="shared" si="11"/>
        <v>-79776.151764730224</v>
      </c>
      <c r="H42" s="62">
        <f t="shared" si="11"/>
        <v>-95138.432635571866</v>
      </c>
      <c r="I42" s="62">
        <f t="shared" si="11"/>
        <v>-127144.929133246</v>
      </c>
      <c r="J42" s="62">
        <f t="shared" si="11"/>
        <v>-162616.71841261256</v>
      </c>
      <c r="K42" s="37" t="s">
        <v>73</v>
      </c>
    </row>
    <row r="43" spans="2:11" x14ac:dyDescent="0.25">
      <c r="B43" s="38" t="s">
        <v>74</v>
      </c>
      <c r="C43" s="63">
        <v>0</v>
      </c>
      <c r="D43" s="64">
        <f t="shared" ref="D43:J43" si="12">IFERROR((D40-$C$40)/$C$40,0)</f>
        <v>-0.33415113018655312</v>
      </c>
      <c r="E43" s="64">
        <f t="shared" si="12"/>
        <v>-0.4915469299680838</v>
      </c>
      <c r="F43" s="64">
        <f t="shared" si="12"/>
        <v>-0.64544217885687893</v>
      </c>
      <c r="G43" s="64">
        <f t="shared" si="12"/>
        <v>-0.79808074994728118</v>
      </c>
      <c r="H43" s="64">
        <f t="shared" si="12"/>
        <v>-0.95176503236866616</v>
      </c>
      <c r="I43" s="64">
        <f t="shared" si="12"/>
        <v>-1.2719580745622849</v>
      </c>
      <c r="J43" s="64">
        <f t="shared" si="12"/>
        <v>-1.626817911290642</v>
      </c>
      <c r="K43" s="37" t="s">
        <v>75</v>
      </c>
    </row>
    <row r="44" spans="2:11" ht="38" x14ac:dyDescent="0.25">
      <c r="B44" s="35" t="s">
        <v>76</v>
      </c>
      <c r="C44" s="25" t="s">
        <v>77</v>
      </c>
      <c r="D44" s="65">
        <f>IFERROR(ROUND(($C$10-D34-$C$16)/$C$15,0),"N/A")</f>
        <v>261</v>
      </c>
      <c r="E44" s="65">
        <f>IFERROR(ROUND(($C$10-E34-$C$16)/$C$15,0),"N/A")</f>
        <v>219</v>
      </c>
      <c r="F44" s="65">
        <f>IFERROR(ROUND(($C$10-F34-$C$16)/$C$15,0),"N/A")</f>
        <v>181</v>
      </c>
      <c r="G44" s="65">
        <f>IFERROR(ROUND(($C$10-G34-$C$16)/$C$15,0),"N/A")</f>
        <v>147</v>
      </c>
      <c r="H44" s="65">
        <f>IFERROR(ROUND(($C$10-H34-$C$16)/$C$15,0),"N/A")</f>
        <v>115</v>
      </c>
      <c r="I44" s="65">
        <f>IFERROR(ROUND(($C$10-I34-$C$16)/$C$15,0),"N/A")</f>
        <v>62</v>
      </c>
      <c r="J44" s="65">
        <f>IFERROR(ROUND(($C$10-J34-$C$16)/$C$15,0),"N/A")</f>
        <v>18</v>
      </c>
      <c r="K44" s="37" t="s">
        <v>78</v>
      </c>
    </row>
    <row r="45" spans="2:11" x14ac:dyDescent="0.25">
      <c r="B45" s="50" t="s">
        <v>79</v>
      </c>
      <c r="C45" s="50"/>
      <c r="D45" s="50"/>
      <c r="E45" s="50"/>
      <c r="F45" s="50"/>
      <c r="G45" s="50"/>
      <c r="H45" s="50"/>
      <c r="I45" s="50"/>
      <c r="J45" s="50"/>
      <c r="K45" s="50"/>
    </row>
    <row r="46" spans="2:11" x14ac:dyDescent="0.25">
      <c r="B46" s="66" t="s">
        <v>80</v>
      </c>
      <c r="C46" s="66" t="s">
        <v>42</v>
      </c>
      <c r="D46" s="66" t="s">
        <v>81</v>
      </c>
      <c r="E46" s="66" t="s">
        <v>82</v>
      </c>
      <c r="F46" s="66" t="s">
        <v>83</v>
      </c>
      <c r="G46" s="66" t="s">
        <v>84</v>
      </c>
      <c r="H46" s="66" t="s">
        <v>85</v>
      </c>
      <c r="I46" s="66" t="s">
        <v>86</v>
      </c>
      <c r="J46" s="66" t="s">
        <v>87</v>
      </c>
      <c r="K46" s="66"/>
    </row>
    <row r="47" spans="2:11" x14ac:dyDescent="0.25">
      <c r="B47" s="67" t="s">
        <v>88</v>
      </c>
      <c r="C47" s="42">
        <v>0</v>
      </c>
      <c r="D47" s="42">
        <f>D25</f>
        <v>18</v>
      </c>
      <c r="E47" s="42">
        <f>E25</f>
        <v>27</v>
      </c>
      <c r="F47" s="42">
        <f>F25</f>
        <v>36</v>
      </c>
      <c r="G47" s="42">
        <f>G25</f>
        <v>45</v>
      </c>
      <c r="H47" s="42">
        <f>H25</f>
        <v>54</v>
      </c>
      <c r="I47" s="42">
        <f>I25</f>
        <v>72</v>
      </c>
      <c r="J47" s="42">
        <f>J25</f>
        <v>90</v>
      </c>
      <c r="K47" s="68"/>
    </row>
    <row r="48" spans="2:11" x14ac:dyDescent="0.25">
      <c r="B48" s="69" t="s">
        <v>48</v>
      </c>
      <c r="C48" s="56">
        <v>0</v>
      </c>
      <c r="D48" s="56">
        <f>D28</f>
        <v>6103.7141900622601</v>
      </c>
      <c r="E48" s="56">
        <f>E28</f>
        <v>10111.69339519506</v>
      </c>
      <c r="F48" s="56">
        <f>F28</f>
        <v>14890.218590714388</v>
      </c>
      <c r="G48" s="56">
        <f>G28</f>
        <v>20556.516940384663</v>
      </c>
      <c r="H48" s="56">
        <f>H28</f>
        <v>27243.89643443414</v>
      </c>
      <c r="I48" s="56">
        <f>I28</f>
        <v>44308.275315598796</v>
      </c>
      <c r="J48" s="56">
        <f>J28</f>
        <v>67557.216422113765</v>
      </c>
      <c r="K48" s="68"/>
    </row>
    <row r="49" spans="2:11" x14ac:dyDescent="0.25">
      <c r="B49" s="67" t="s">
        <v>65</v>
      </c>
      <c r="C49" s="70">
        <f>$C$10</f>
        <v>150000</v>
      </c>
      <c r="D49" s="70">
        <f>D35</f>
        <v>122701.9672166144</v>
      </c>
      <c r="E49" s="70">
        <f>E35</f>
        <v>110976.6622755854</v>
      </c>
      <c r="F49" s="70">
        <f>F35</f>
        <v>100371.81839218076</v>
      </c>
      <c r="G49" s="70">
        <f>G35</f>
        <v>90780.365175654442</v>
      </c>
      <c r="H49" s="70">
        <f>H35</f>
        <v>82105.463798862271</v>
      </c>
      <c r="I49" s="70">
        <f>I35</f>
        <v>67163.34618235279</v>
      </c>
      <c r="J49" s="70">
        <f>J35</f>
        <v>54940.498009501185</v>
      </c>
      <c r="K49" s="68"/>
    </row>
    <row r="50" spans="2:11" x14ac:dyDescent="0.25">
      <c r="B50" s="71" t="s">
        <v>68</v>
      </c>
      <c r="C50" s="60">
        <f t="shared" ref="C50:J51" si="13">C40</f>
        <v>99960</v>
      </c>
      <c r="D50" s="60">
        <f t="shared" si="13"/>
        <v>66558.253026552149</v>
      </c>
      <c r="E50" s="60">
        <f t="shared" si="13"/>
        <v>50824.968880390341</v>
      </c>
      <c r="F50" s="60">
        <f t="shared" si="13"/>
        <v>35441.599801466378</v>
      </c>
      <c r="G50" s="60">
        <f t="shared" si="13"/>
        <v>20183.848235269776</v>
      </c>
      <c r="H50" s="60">
        <f t="shared" si="13"/>
        <v>4821.5673644281342</v>
      </c>
      <c r="I50" s="60">
        <f t="shared" si="13"/>
        <v>-27184.929133245998</v>
      </c>
      <c r="J50" s="60">
        <f t="shared" si="13"/>
        <v>-62656.718412612579</v>
      </c>
      <c r="K50" s="68"/>
    </row>
    <row r="51" spans="2:11" x14ac:dyDescent="0.25">
      <c r="B51" s="72" t="s">
        <v>70</v>
      </c>
      <c r="C51" s="45">
        <f t="shared" si="13"/>
        <v>0.19991999999999999</v>
      </c>
      <c r="D51" s="45">
        <f t="shared" si="13"/>
        <v>0.13311650605310429</v>
      </c>
      <c r="E51" s="45">
        <f t="shared" si="13"/>
        <v>0.10164993776078068</v>
      </c>
      <c r="F51" s="45">
        <f t="shared" si="13"/>
        <v>7.0883199602932753E-2</v>
      </c>
      <c r="G51" s="45">
        <f t="shared" si="13"/>
        <v>4.0367696470539553E-2</v>
      </c>
      <c r="H51" s="45">
        <f t="shared" si="13"/>
        <v>9.6431347288562681E-3</v>
      </c>
      <c r="I51" s="45">
        <f t="shared" si="13"/>
        <v>-5.4369858266491995E-2</v>
      </c>
      <c r="J51" s="45">
        <f t="shared" si="13"/>
        <v>-0.12531343682522517</v>
      </c>
      <c r="K51" s="68"/>
    </row>
    <row r="52" spans="2:11" x14ac:dyDescent="0.25">
      <c r="B52" s="69" t="s">
        <v>89</v>
      </c>
      <c r="C52" s="25" t="s">
        <v>77</v>
      </c>
      <c r="D52" s="62">
        <f t="shared" ref="D52:J53" si="14">D42</f>
        <v>-33401.746973447851</v>
      </c>
      <c r="E52" s="62">
        <f t="shared" si="14"/>
        <v>-49135.031119609659</v>
      </c>
      <c r="F52" s="62">
        <f t="shared" si="14"/>
        <v>-64518.400198533622</v>
      </c>
      <c r="G52" s="62">
        <f t="shared" si="14"/>
        <v>-79776.151764730224</v>
      </c>
      <c r="H52" s="62">
        <f t="shared" si="14"/>
        <v>-95138.432635571866</v>
      </c>
      <c r="I52" s="62">
        <f t="shared" si="14"/>
        <v>-127144.929133246</v>
      </c>
      <c r="J52" s="62">
        <f t="shared" si="14"/>
        <v>-162616.71841261256</v>
      </c>
      <c r="K52" s="68"/>
    </row>
    <row r="53" spans="2:11" x14ac:dyDescent="0.25">
      <c r="B53" s="67" t="s">
        <v>90</v>
      </c>
      <c r="C53" s="40" t="s">
        <v>77</v>
      </c>
      <c r="D53" s="64">
        <f t="shared" si="14"/>
        <v>-0.33415113018655312</v>
      </c>
      <c r="E53" s="64">
        <f t="shared" si="14"/>
        <v>-0.4915469299680838</v>
      </c>
      <c r="F53" s="64">
        <f t="shared" si="14"/>
        <v>-0.64544217885687893</v>
      </c>
      <c r="G53" s="64">
        <f t="shared" si="14"/>
        <v>-0.79808074994728118</v>
      </c>
      <c r="H53" s="64">
        <f t="shared" si="14"/>
        <v>-0.95176503236866616</v>
      </c>
      <c r="I53" s="64">
        <f t="shared" si="14"/>
        <v>-1.2719580745622849</v>
      </c>
      <c r="J53" s="64">
        <f t="shared" si="14"/>
        <v>-1.626817911290642</v>
      </c>
      <c r="K53" s="37" t="s">
        <v>91</v>
      </c>
    </row>
    <row r="54" spans="2:11" ht="38" x14ac:dyDescent="0.25">
      <c r="B54" s="35" t="s">
        <v>92</v>
      </c>
      <c r="C54" s="45">
        <f t="shared" ref="C54:J54" si="15">$C$17</f>
        <v>1.9976019184652278</v>
      </c>
      <c r="D54" s="45">
        <f t="shared" si="15"/>
        <v>1.9976019184652278</v>
      </c>
      <c r="E54" s="45">
        <f t="shared" si="15"/>
        <v>1.9976019184652278</v>
      </c>
      <c r="F54" s="45">
        <f t="shared" si="15"/>
        <v>1.9976019184652278</v>
      </c>
      <c r="G54" s="45">
        <f t="shared" si="15"/>
        <v>1.9976019184652278</v>
      </c>
      <c r="H54" s="45">
        <f t="shared" si="15"/>
        <v>1.9976019184652278</v>
      </c>
      <c r="I54" s="45">
        <f t="shared" si="15"/>
        <v>1.9976019184652278</v>
      </c>
      <c r="J54" s="45">
        <f t="shared" si="15"/>
        <v>1.9976019184652278</v>
      </c>
      <c r="K54" s="37" t="s">
        <v>93</v>
      </c>
    </row>
    <row r="55" spans="2:11" ht="38" x14ac:dyDescent="0.25">
      <c r="B55" s="73" t="s">
        <v>94</v>
      </c>
      <c r="C55" s="45">
        <f t="shared" ref="C55:J55" si="16">IFERROR((C40/$C$16)*(365/$C$12),0)</f>
        <v>4.0506927791100455</v>
      </c>
      <c r="D55" s="74">
        <f t="shared" si="16"/>
        <v>2.6971492089319136</v>
      </c>
      <c r="E55" s="74">
        <f t="shared" si="16"/>
        <v>2.059587179294617</v>
      </c>
      <c r="F55" s="74">
        <f t="shared" si="16"/>
        <v>1.4362048058814312</v>
      </c>
      <c r="G55" s="74">
        <f t="shared" si="16"/>
        <v>0.81791284815186382</v>
      </c>
      <c r="H55" s="74">
        <f t="shared" si="16"/>
        <v>0.19538503508485089</v>
      </c>
      <c r="I55" s="74">
        <f t="shared" si="16"/>
        <v>-1.1016186088501185</v>
      </c>
      <c r="J55" s="74">
        <f t="shared" si="16"/>
        <v>-2.5390467870818445</v>
      </c>
      <c r="K55" s="37" t="s">
        <v>95</v>
      </c>
    </row>
    <row r="58" spans="2:11" x14ac:dyDescent="0.25">
      <c r="B58" s="80" t="s">
        <v>96</v>
      </c>
      <c r="C58" s="81"/>
      <c r="D58" s="81"/>
      <c r="E58" s="81"/>
      <c r="F58" s="81"/>
      <c r="G58" s="81"/>
      <c r="H58" s="81"/>
      <c r="I58" s="81"/>
      <c r="J58" s="81"/>
      <c r="K58" s="81"/>
    </row>
  </sheetData>
  <sheetProtection algorithmName="SHA-512" hashValue="bCyYdXFDCAaS7HE8KpUyxMfZshpMnQesocVNimBuENLLdnlvtH+S/L/DYhztMbCxrhe/5861aNvxeL5RsPm+Uw==" saltValue="m038DDaqvjNBJEkCD9Xjcw==" spinCount="100000" sheet="1"/>
  <mergeCells count="9">
    <mergeCell ref="B37:K37"/>
    <mergeCell ref="B45:K45"/>
    <mergeCell ref="B23:K23"/>
    <mergeCell ref="B58:K58"/>
    <mergeCell ref="B2:L2"/>
    <mergeCell ref="B4:L4"/>
    <mergeCell ref="B8:L8"/>
    <mergeCell ref="B19:K19"/>
    <mergeCell ref="B30:K3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79"/>
  <sheetViews>
    <sheetView showGridLines="0" topLeftCell="A17" zoomScaleNormal="100" workbookViewId="0">
      <selection activeCell="B36" sqref="B36:I36"/>
    </sheetView>
  </sheetViews>
  <sheetFormatPr baseColWidth="10" defaultColWidth="8.6640625" defaultRowHeight="16" x14ac:dyDescent="0.2"/>
  <cols>
    <col min="1" max="1" width="2" style="1" customWidth="1"/>
    <col min="2" max="2" width="28" style="1" customWidth="1"/>
    <col min="3" max="3" width="18" style="1" customWidth="1"/>
    <col min="4" max="8" width="8.6640625" style="1"/>
    <col min="9" max="9" width="87.33203125" style="1" customWidth="1"/>
    <col min="10" max="16384" width="8.6640625" style="1"/>
  </cols>
  <sheetData>
    <row r="2" spans="2:9" ht="34" customHeight="1" x14ac:dyDescent="0.2">
      <c r="B2" s="76" t="s">
        <v>97</v>
      </c>
      <c r="C2" s="76"/>
      <c r="D2" s="76"/>
      <c r="E2" s="76"/>
      <c r="F2" s="76"/>
      <c r="G2" s="76"/>
      <c r="H2" s="76"/>
      <c r="I2" s="76"/>
    </row>
    <row r="3" spans="2:9" ht="21" x14ac:dyDescent="0.25">
      <c r="B3" s="75"/>
      <c r="C3" s="75"/>
      <c r="D3" s="75"/>
      <c r="E3" s="75"/>
      <c r="F3" s="75"/>
      <c r="G3" s="75"/>
      <c r="H3" s="75"/>
      <c r="I3" s="75"/>
    </row>
    <row r="4" spans="2:9" ht="51" customHeight="1" x14ac:dyDescent="0.2">
      <c r="B4" s="77" t="s">
        <v>98</v>
      </c>
      <c r="C4" s="77"/>
      <c r="D4" s="77"/>
      <c r="E4" s="77"/>
      <c r="F4" s="77"/>
      <c r="G4" s="77"/>
      <c r="H4" s="77"/>
      <c r="I4" s="77"/>
    </row>
    <row r="6" spans="2:9" ht="24" customHeight="1" x14ac:dyDescent="0.2">
      <c r="B6" s="20" t="s">
        <v>99</v>
      </c>
      <c r="C6" s="20"/>
      <c r="D6" s="20"/>
      <c r="E6" s="20"/>
      <c r="F6" s="20"/>
      <c r="G6" s="20"/>
      <c r="H6" s="20"/>
      <c r="I6" s="20"/>
    </row>
    <row r="7" spans="2:9" ht="34" x14ac:dyDescent="0.2">
      <c r="B7" s="3" t="s">
        <v>100</v>
      </c>
      <c r="C7" s="4" t="s">
        <v>101</v>
      </c>
      <c r="D7" s="5" t="s">
        <v>102</v>
      </c>
      <c r="E7" s="6" t="s">
        <v>103</v>
      </c>
      <c r="F7" s="7" t="s">
        <v>104</v>
      </c>
      <c r="G7" s="8" t="s">
        <v>105</v>
      </c>
      <c r="H7" s="4" t="s">
        <v>106</v>
      </c>
      <c r="I7" s="3" t="s">
        <v>107</v>
      </c>
    </row>
    <row r="8" spans="2:9" ht="17" x14ac:dyDescent="0.2">
      <c r="B8" s="10" t="s">
        <v>108</v>
      </c>
      <c r="C8" s="11">
        <v>500000</v>
      </c>
      <c r="D8" s="11">
        <v>500000</v>
      </c>
      <c r="E8" s="11">
        <v>500000</v>
      </c>
      <c r="F8" s="11">
        <v>500000</v>
      </c>
      <c r="G8" s="11">
        <v>500000</v>
      </c>
      <c r="H8" s="11">
        <v>500000</v>
      </c>
      <c r="I8" s="12" t="s">
        <v>109</v>
      </c>
    </row>
    <row r="9" spans="2:9" ht="17" x14ac:dyDescent="0.2">
      <c r="B9" s="13" t="s">
        <v>110</v>
      </c>
      <c r="C9" s="14">
        <v>150000</v>
      </c>
      <c r="D9" s="14">
        <v>150000</v>
      </c>
      <c r="E9" s="14">
        <v>150000</v>
      </c>
      <c r="F9" s="14">
        <v>150000</v>
      </c>
      <c r="G9" s="14">
        <v>150000</v>
      </c>
      <c r="H9" s="14">
        <v>150000</v>
      </c>
      <c r="I9" s="12" t="s">
        <v>111</v>
      </c>
    </row>
    <row r="10" spans="2:9" ht="17" x14ac:dyDescent="0.2">
      <c r="B10" s="10" t="s">
        <v>112</v>
      </c>
      <c r="C10" s="11">
        <v>180</v>
      </c>
      <c r="D10" s="11">
        <v>180</v>
      </c>
      <c r="E10" s="11">
        <v>180</v>
      </c>
      <c r="F10" s="11">
        <v>180</v>
      </c>
      <c r="G10" s="11">
        <v>180</v>
      </c>
      <c r="H10" s="11">
        <v>180</v>
      </c>
      <c r="I10" s="12" t="s">
        <v>113</v>
      </c>
    </row>
    <row r="11" spans="2:9" ht="17" x14ac:dyDescent="0.2">
      <c r="B11" s="13" t="s">
        <v>114</v>
      </c>
      <c r="C11" s="14">
        <v>278</v>
      </c>
      <c r="D11" s="14">
        <v>278</v>
      </c>
      <c r="E11" s="14">
        <v>278</v>
      </c>
      <c r="F11" s="14">
        <v>278</v>
      </c>
      <c r="G11" s="14">
        <v>278</v>
      </c>
      <c r="H11" s="14">
        <v>278</v>
      </c>
      <c r="I11" s="12" t="s">
        <v>115</v>
      </c>
    </row>
    <row r="12" spans="2:9" ht="34" x14ac:dyDescent="0.2">
      <c r="B12" s="10" t="s">
        <v>116</v>
      </c>
      <c r="C12" s="11">
        <v>1</v>
      </c>
      <c r="D12" s="14">
        <v>51</v>
      </c>
      <c r="E12" s="11">
        <v>101</v>
      </c>
      <c r="F12" s="14">
        <v>151</v>
      </c>
      <c r="G12" s="11">
        <v>201</v>
      </c>
      <c r="H12" s="14">
        <v>251</v>
      </c>
      <c r="I12" s="12" t="s">
        <v>117</v>
      </c>
    </row>
    <row r="13" spans="2:9" ht="17" x14ac:dyDescent="0.2">
      <c r="B13" s="21" t="s">
        <v>118</v>
      </c>
      <c r="C13" s="82">
        <f t="shared" ref="C13:H13" si="0">IFERROR((C9-C10*C11)/(C10*C11),0)</f>
        <v>1.9976019184652278</v>
      </c>
      <c r="D13" s="82">
        <f t="shared" si="0"/>
        <v>1.9976019184652278</v>
      </c>
      <c r="E13" s="82">
        <f t="shared" si="0"/>
        <v>1.9976019184652278</v>
      </c>
      <c r="F13" s="82">
        <f t="shared" si="0"/>
        <v>1.9976019184652278</v>
      </c>
      <c r="G13" s="82">
        <f t="shared" si="0"/>
        <v>1.9976019184652278</v>
      </c>
      <c r="H13" s="82">
        <f t="shared" si="0"/>
        <v>1.9976019184652278</v>
      </c>
      <c r="I13" s="12" t="s">
        <v>119</v>
      </c>
    </row>
    <row r="14" spans="2:9" ht="17" x14ac:dyDescent="0.2">
      <c r="B14" s="17" t="s">
        <v>120</v>
      </c>
      <c r="C14" s="83">
        <f t="shared" ref="C14:H14" si="1">C9-C10*C11</f>
        <v>99960</v>
      </c>
      <c r="D14" s="83">
        <f t="shared" si="1"/>
        <v>99960</v>
      </c>
      <c r="E14" s="83">
        <f t="shared" si="1"/>
        <v>99960</v>
      </c>
      <c r="F14" s="83">
        <f t="shared" si="1"/>
        <v>99960</v>
      </c>
      <c r="G14" s="83">
        <f t="shared" si="1"/>
        <v>99960</v>
      </c>
      <c r="H14" s="83">
        <f t="shared" si="1"/>
        <v>99960</v>
      </c>
      <c r="I14" s="12" t="s">
        <v>121</v>
      </c>
    </row>
    <row r="16" spans="2:9" ht="25" customHeight="1" x14ac:dyDescent="0.2">
      <c r="B16" s="9" t="s">
        <v>122</v>
      </c>
      <c r="C16" s="9"/>
      <c r="D16" s="9"/>
      <c r="E16" s="9"/>
      <c r="F16" s="9"/>
      <c r="G16" s="9"/>
      <c r="H16" s="9"/>
      <c r="I16" s="9"/>
    </row>
    <row r="17" spans="2:9" ht="34" x14ac:dyDescent="0.2">
      <c r="B17" s="10" t="s">
        <v>123</v>
      </c>
      <c r="C17" s="22">
        <v>0.2</v>
      </c>
      <c r="E17" s="2"/>
      <c r="F17" s="2"/>
      <c r="G17" s="2"/>
      <c r="H17" s="2"/>
      <c r="I17" s="12" t="s">
        <v>124</v>
      </c>
    </row>
    <row r="18" spans="2:9" ht="34" x14ac:dyDescent="0.2">
      <c r="B18" s="13" t="s">
        <v>44</v>
      </c>
      <c r="C18" s="84">
        <f>ROUND(C10*C17,0)</f>
        <v>36</v>
      </c>
      <c r="D18" s="84">
        <f>$C$18</f>
        <v>36</v>
      </c>
      <c r="E18" s="84">
        <f>$C$18</f>
        <v>36</v>
      </c>
      <c r="F18" s="84">
        <f>$C$18</f>
        <v>36</v>
      </c>
      <c r="G18" s="84">
        <f>$C$18</f>
        <v>36</v>
      </c>
      <c r="H18" s="84">
        <f>$C$18</f>
        <v>36</v>
      </c>
      <c r="I18" s="85" t="s">
        <v>125</v>
      </c>
    </row>
    <row r="19" spans="2:9" ht="34" x14ac:dyDescent="0.2">
      <c r="B19" s="10" t="s">
        <v>126</v>
      </c>
      <c r="C19" s="15">
        <f>C12</f>
        <v>1</v>
      </c>
      <c r="D19" s="16">
        <f>D12+$C$18</f>
        <v>87</v>
      </c>
      <c r="E19" s="15">
        <f>E12+$C$18</f>
        <v>137</v>
      </c>
      <c r="F19" s="16">
        <f>F12+$C$18</f>
        <v>187</v>
      </c>
      <c r="G19" s="15">
        <f>G12+$C$18</f>
        <v>237</v>
      </c>
      <c r="H19" s="16">
        <f>H12+$C$18</f>
        <v>287</v>
      </c>
      <c r="I19" s="85" t="s">
        <v>127</v>
      </c>
    </row>
    <row r="20" spans="2:9" ht="34" x14ac:dyDescent="0.2">
      <c r="B20" s="13" t="s">
        <v>128</v>
      </c>
      <c r="C20" s="84">
        <f>C19+C10+$C$18</f>
        <v>217</v>
      </c>
      <c r="D20" s="84">
        <f>D19+D10</f>
        <v>267</v>
      </c>
      <c r="E20" s="84">
        <f>E19+E10</f>
        <v>317</v>
      </c>
      <c r="F20" s="84">
        <f>F19+F10</f>
        <v>367</v>
      </c>
      <c r="G20" s="84">
        <f>G19+G10</f>
        <v>417</v>
      </c>
      <c r="H20" s="84">
        <f>H19+H10</f>
        <v>467</v>
      </c>
      <c r="I20" s="12" t="s">
        <v>129</v>
      </c>
    </row>
    <row r="22" spans="2:9" ht="26" customHeight="1" x14ac:dyDescent="0.2">
      <c r="B22" s="86" t="s">
        <v>130</v>
      </c>
      <c r="C22" s="86"/>
      <c r="D22" s="86"/>
      <c r="E22" s="86"/>
      <c r="F22" s="86"/>
      <c r="G22" s="86"/>
      <c r="H22" s="86"/>
      <c r="I22" s="86"/>
    </row>
    <row r="23" spans="2:9" ht="34" x14ac:dyDescent="0.2">
      <c r="B23" s="10" t="s">
        <v>131</v>
      </c>
      <c r="C23" s="87">
        <f t="shared" ref="C23:H23" si="2">IFERROR(C13/C10,0)</f>
        <v>1.1097788435917933E-2</v>
      </c>
      <c r="D23" s="88">
        <f t="shared" si="2"/>
        <v>1.1097788435917933E-2</v>
      </c>
      <c r="E23" s="87">
        <f t="shared" si="2"/>
        <v>1.1097788435917933E-2</v>
      </c>
      <c r="F23" s="88">
        <f t="shared" si="2"/>
        <v>1.1097788435917933E-2</v>
      </c>
      <c r="G23" s="87">
        <f t="shared" si="2"/>
        <v>1.1097788435917933E-2</v>
      </c>
      <c r="H23" s="88">
        <f t="shared" si="2"/>
        <v>1.1097788435917933E-2</v>
      </c>
      <c r="I23" s="12" t="s">
        <v>132</v>
      </c>
    </row>
    <row r="24" spans="2:9" ht="34" x14ac:dyDescent="0.2">
      <c r="B24" s="89" t="s">
        <v>133</v>
      </c>
      <c r="C24" s="90">
        <f t="shared" ref="C24:H24" si="3">C23*$C$18</f>
        <v>0.3995203836930456</v>
      </c>
      <c r="D24" s="90">
        <f t="shared" si="3"/>
        <v>0.3995203836930456</v>
      </c>
      <c r="E24" s="90">
        <f t="shared" si="3"/>
        <v>0.3995203836930456</v>
      </c>
      <c r="F24" s="90">
        <f t="shared" si="3"/>
        <v>0.3995203836930456</v>
      </c>
      <c r="G24" s="90">
        <f t="shared" si="3"/>
        <v>0.3995203836930456</v>
      </c>
      <c r="H24" s="90">
        <f t="shared" si="3"/>
        <v>0.3995203836930456</v>
      </c>
      <c r="I24" s="12" t="s">
        <v>134</v>
      </c>
    </row>
    <row r="25" spans="2:9" ht="34" x14ac:dyDescent="0.2">
      <c r="B25" s="89" t="s">
        <v>135</v>
      </c>
      <c r="C25" s="84">
        <f t="shared" ref="C25:H25" si="4">C14*((1+C23)^$C$18-1)</f>
        <v>48763.646115888318</v>
      </c>
      <c r="D25" s="84">
        <f t="shared" si="4"/>
        <v>48763.646115888318</v>
      </c>
      <c r="E25" s="84">
        <f t="shared" si="4"/>
        <v>48763.646115888318</v>
      </c>
      <c r="F25" s="84">
        <f t="shared" si="4"/>
        <v>48763.646115888318</v>
      </c>
      <c r="G25" s="84">
        <f t="shared" si="4"/>
        <v>48763.646115888318</v>
      </c>
      <c r="H25" s="84">
        <f t="shared" si="4"/>
        <v>48763.646115888318</v>
      </c>
      <c r="I25" s="12" t="s">
        <v>136</v>
      </c>
    </row>
    <row r="26" spans="2:9" ht="34" x14ac:dyDescent="0.2">
      <c r="B26" s="13" t="s">
        <v>137</v>
      </c>
      <c r="C26" s="16">
        <f t="shared" ref="C26:H26" si="5">C9*(1-(1-C23)^$C$18)</f>
        <v>49628.181607819235</v>
      </c>
      <c r="D26" s="16">
        <f t="shared" si="5"/>
        <v>49628.181607819235</v>
      </c>
      <c r="E26" s="16">
        <f t="shared" si="5"/>
        <v>49628.181607819235</v>
      </c>
      <c r="F26" s="16">
        <f t="shared" si="5"/>
        <v>49628.181607819235</v>
      </c>
      <c r="G26" s="16">
        <f t="shared" si="5"/>
        <v>49628.181607819235</v>
      </c>
      <c r="H26" s="16">
        <f t="shared" si="5"/>
        <v>49628.181607819235</v>
      </c>
      <c r="I26" s="12" t="s">
        <v>138</v>
      </c>
    </row>
    <row r="28" spans="2:9" ht="25" customHeight="1" x14ac:dyDescent="0.2">
      <c r="B28" s="20" t="s">
        <v>139</v>
      </c>
      <c r="C28" s="20"/>
      <c r="D28" s="20"/>
      <c r="E28" s="20"/>
      <c r="F28" s="20"/>
      <c r="G28" s="20"/>
      <c r="H28" s="20"/>
      <c r="I28" s="20"/>
    </row>
    <row r="29" spans="2:9" ht="34" x14ac:dyDescent="0.2">
      <c r="B29" s="91" t="s">
        <v>140</v>
      </c>
      <c r="C29" s="84">
        <f>SUM(C25:H25)</f>
        <v>292581.87669532991</v>
      </c>
      <c r="E29" s="92"/>
      <c r="F29" s="92"/>
      <c r="G29" s="92"/>
      <c r="H29" s="92"/>
      <c r="I29" s="12" t="s">
        <v>141</v>
      </c>
    </row>
    <row r="30" spans="2:9" ht="34" x14ac:dyDescent="0.2">
      <c r="B30" s="91" t="s">
        <v>142</v>
      </c>
      <c r="C30" s="84">
        <f>SUM(C26:H26)</f>
        <v>297769.08964691538</v>
      </c>
      <c r="E30" s="92"/>
      <c r="F30" s="92"/>
      <c r="G30" s="92"/>
      <c r="H30" s="92"/>
      <c r="I30" s="12" t="s">
        <v>143</v>
      </c>
    </row>
    <row r="31" spans="2:9" ht="34" x14ac:dyDescent="0.2">
      <c r="B31" s="21" t="s">
        <v>144</v>
      </c>
      <c r="C31" s="93">
        <f>C25+C26</f>
        <v>98391.827723707553</v>
      </c>
      <c r="E31" s="94"/>
      <c r="F31" s="94"/>
      <c r="G31" s="94"/>
      <c r="H31" s="94"/>
      <c r="I31" s="12" t="s">
        <v>145</v>
      </c>
    </row>
    <row r="32" spans="2:9" ht="34" x14ac:dyDescent="0.2">
      <c r="B32" s="21" t="s">
        <v>146</v>
      </c>
      <c r="C32" s="95">
        <f>IFERROR((C29+C30)/C31,0)</f>
        <v>5.9999999999999991</v>
      </c>
      <c r="E32" s="94"/>
      <c r="F32" s="94"/>
      <c r="G32" s="94"/>
      <c r="H32" s="94"/>
      <c r="I32" s="12" t="s">
        <v>147</v>
      </c>
    </row>
    <row r="33" spans="2:9" ht="34" x14ac:dyDescent="0.2">
      <c r="B33" s="17" t="s">
        <v>148</v>
      </c>
      <c r="C33" s="23">
        <f>SUM(C8:H8)</f>
        <v>3000000</v>
      </c>
      <c r="E33" s="96"/>
      <c r="F33" s="96"/>
      <c r="G33" s="96"/>
      <c r="H33" s="96"/>
      <c r="I33" s="12" t="s">
        <v>149</v>
      </c>
    </row>
    <row r="34" spans="2:9" ht="34" x14ac:dyDescent="0.2">
      <c r="B34" s="97" t="s">
        <v>150</v>
      </c>
      <c r="C34" s="18">
        <f>IFERROR(C30/C33,0)</f>
        <v>9.9256363215638466E-2</v>
      </c>
      <c r="D34" s="19"/>
      <c r="E34" s="19"/>
      <c r="F34" s="19"/>
      <c r="G34" s="19"/>
      <c r="H34" s="19"/>
      <c r="I34" s="12" t="s">
        <v>151</v>
      </c>
    </row>
    <row r="36" spans="2:9" ht="63" customHeight="1" x14ac:dyDescent="0.2">
      <c r="B36" s="98" t="s">
        <v>152</v>
      </c>
      <c r="C36" s="98"/>
      <c r="D36" s="98"/>
      <c r="E36" s="98"/>
      <c r="F36" s="98"/>
      <c r="G36" s="98"/>
      <c r="H36" s="98"/>
      <c r="I36" s="98"/>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sheetData>
  <sheetProtection algorithmName="SHA-512" hashValue="laDRnBwTX3XvJbwbIPHfPBOWgxvd22JAt5MzFY6g2X7LTU0tQ7lWlaK9e0MYihBO9i/J+CiQ8s8uXF9Lu9xCsQ==" saltValue="GWUQ0xykWlwNGFM1bSuTlw==" spinCount="100000" sheet="1"/>
  <mergeCells count="7">
    <mergeCell ref="B28:I28"/>
    <mergeCell ref="B36:I36"/>
    <mergeCell ref="B2:I2"/>
    <mergeCell ref="B4:I4"/>
    <mergeCell ref="B6:I6"/>
    <mergeCell ref="B16:I16"/>
    <mergeCell ref="B22:I2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Cost of Delay Model</vt:lpstr>
      <vt:lpstr>Pipeline Cascade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John Thompson</cp:lastModifiedBy>
  <cp:revision>0</cp:revision>
  <dcterms:created xsi:type="dcterms:W3CDTF">2026-03-27T14:48:16Z</dcterms:created>
  <dcterms:modified xsi:type="dcterms:W3CDTF">2026-04-06T17:26:00Z</dcterms:modified>
  <dc:language>en-US</dc:language>
</cp:coreProperties>
</file>